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einbeis\Projekte\2021_Niederschlagswasser_LWB\10 Ergebnisse\NW auf LWB und BGA\Anhänge\"/>
    </mc:Choice>
  </mc:AlternateContent>
  <bookViews>
    <workbookView xWindow="0" yWindow="0" windowWidth="19200" windowHeight="7050" firstSheet="2" activeTab="2"/>
  </bookViews>
  <sheets>
    <sheet name="Erläuterung" sheetId="11" r:id="rId1"/>
    <sheet name="Gewässerhydraulik" sheetId="2" r:id="rId2"/>
    <sheet name="Hydrologischer Nachweis" sheetId="10" r:id="rId3"/>
    <sheet name="Stoffl. Nachweis I (O2 &amp; NH3-N)" sheetId="1" r:id="rId4"/>
    <sheet name="Stoffl. Nachweis II (Pges)" sheetId="9" r:id="rId5"/>
  </sheets>
  <definedNames>
    <definedName name="solver_adj" localSheetId="1" hidden="1">Gewässerhydraulik!$C$23,Gewässerhydraulik!$C$26,Gewässerhydraulik!$I$23,Gewässerhydraulik!$I$26,Gewässerhydraulik!$I$37,Gewässerhydraulik!$I$40</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Gewässerhydraulik!$D$16</definedName>
    <definedName name="solver_pre" localSheetId="1" hidden="1">0.000001</definedName>
    <definedName name="solver_rbv" localSheetId="1" hidden="1">2</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 l="1"/>
  <c r="D31" i="1"/>
  <c r="D69" i="1"/>
  <c r="D51" i="1" l="1"/>
  <c r="D52" i="1" s="1"/>
  <c r="D53" i="1" s="1"/>
  <c r="D71" i="1" l="1"/>
  <c r="D70" i="1"/>
  <c r="D54" i="1"/>
  <c r="D5" i="1"/>
  <c r="D22" i="1" l="1"/>
  <c r="D21" i="1"/>
  <c r="D10" i="1" l="1"/>
  <c r="D84" i="1" s="1"/>
  <c r="D20" i="1"/>
  <c r="D8" i="1"/>
  <c r="D7" i="1"/>
  <c r="D25" i="10"/>
  <c r="D24" i="10"/>
  <c r="D23" i="10"/>
  <c r="D11" i="9" s="1"/>
  <c r="D6" i="10"/>
  <c r="D5" i="10"/>
  <c r="D64" i="1" l="1"/>
  <c r="D65" i="1" s="1"/>
  <c r="D66" i="1" s="1"/>
  <c r="D68" i="1"/>
  <c r="D12" i="10"/>
  <c r="D26" i="10"/>
  <c r="D72" i="1" l="1"/>
  <c r="D89" i="1" s="1"/>
  <c r="D90" i="1" s="1"/>
  <c r="D67" i="1"/>
  <c r="D27" i="10"/>
  <c r="D32" i="10" s="1"/>
  <c r="D33" i="10" s="1"/>
  <c r="D34" i="10" s="1"/>
  <c r="D11" i="1"/>
  <c r="D13" i="1" s="1"/>
  <c r="D75" i="1" l="1"/>
  <c r="D98" i="1"/>
  <c r="D73" i="1"/>
  <c r="D88" i="1" s="1"/>
  <c r="D74" i="1"/>
  <c r="D36" i="10"/>
  <c r="D35" i="10"/>
  <c r="D37" i="10" l="1"/>
  <c r="D38" i="10" s="1"/>
  <c r="D39" i="10" s="1"/>
  <c r="D40" i="10" s="1"/>
  <c r="E32" i="10" s="1"/>
  <c r="E33" i="10" s="1"/>
  <c r="E34" i="10" s="1"/>
  <c r="E36" i="10" s="1"/>
  <c r="O8" i="2"/>
  <c r="E35" i="10" l="1"/>
  <c r="E37" i="10" s="1"/>
  <c r="E38" i="10" s="1"/>
  <c r="E39" i="10" s="1"/>
  <c r="E40" i="10" s="1"/>
  <c r="F32" i="10" s="1"/>
  <c r="F33" i="10" s="1"/>
  <c r="F34" i="10" s="1"/>
  <c r="F35" i="10" l="1"/>
  <c r="F36" i="10"/>
  <c r="R8" i="2"/>
  <c r="R9" i="2" s="1"/>
  <c r="S8" i="2"/>
  <c r="S9" i="2" s="1"/>
  <c r="T8" i="2"/>
  <c r="U8" i="2"/>
  <c r="V8" i="2"/>
  <c r="W8" i="2"/>
  <c r="W9" i="2" s="1"/>
  <c r="X8" i="2"/>
  <c r="Y8" i="2"/>
  <c r="Z8" i="2"/>
  <c r="Z9" i="2" s="1"/>
  <c r="AA8" i="2"/>
  <c r="AA9" i="2" s="1"/>
  <c r="AB8" i="2"/>
  <c r="AC8" i="2"/>
  <c r="AD8" i="2"/>
  <c r="AD9" i="2" s="1"/>
  <c r="AE8" i="2"/>
  <c r="AE9" i="2" s="1"/>
  <c r="AF8" i="2"/>
  <c r="AG8" i="2"/>
  <c r="AH8" i="2"/>
  <c r="AI8" i="2"/>
  <c r="AI9" i="2" s="1"/>
  <c r="AJ8" i="2"/>
  <c r="AK8" i="2"/>
  <c r="AL8" i="2"/>
  <c r="AL9" i="2" s="1"/>
  <c r="AM8" i="2"/>
  <c r="AM9" i="2" s="1"/>
  <c r="AN8" i="2"/>
  <c r="T9" i="2"/>
  <c r="V9" i="2"/>
  <c r="X9" i="2"/>
  <c r="AB9" i="2"/>
  <c r="AF9" i="2"/>
  <c r="AH9" i="2"/>
  <c r="AJ9" i="2"/>
  <c r="AN9" i="2"/>
  <c r="F37" i="10" l="1"/>
  <c r="F38" i="10" s="1"/>
  <c r="F39" i="10" s="1"/>
  <c r="F40" i="10" s="1"/>
  <c r="G32" i="10" s="1"/>
  <c r="G33" i="10" s="1"/>
  <c r="G34" i="10" s="1"/>
  <c r="G35" i="10" s="1"/>
  <c r="AK9" i="2"/>
  <c r="AG9" i="2"/>
  <c r="AC9" i="2"/>
  <c r="Y9" i="2"/>
  <c r="U9" i="2"/>
  <c r="G36" i="10" l="1"/>
  <c r="G37" i="10" s="1"/>
  <c r="G38" i="10" s="1"/>
  <c r="G39" i="10" s="1"/>
  <c r="G40" i="10" s="1"/>
  <c r="H32" i="10" s="1"/>
  <c r="H33" i="10" s="1"/>
  <c r="H34" i="10" s="1"/>
  <c r="H36" i="10" s="1"/>
  <c r="D86" i="1"/>
  <c r="H35" i="10" l="1"/>
  <c r="H37" i="10" s="1"/>
  <c r="K37" i="10" s="1"/>
  <c r="H51" i="1"/>
  <c r="H52" i="1" s="1"/>
  <c r="G51" i="1"/>
  <c r="G52" i="1" s="1"/>
  <c r="K51" i="1"/>
  <c r="K52" i="1" s="1"/>
  <c r="I51" i="1"/>
  <c r="I52" i="1" s="1"/>
  <c r="E51" i="1"/>
  <c r="E52" i="1" s="1"/>
  <c r="J51" i="1"/>
  <c r="J52" i="1" s="1"/>
  <c r="F51" i="1"/>
  <c r="F52" i="1" s="1"/>
  <c r="M51" i="1"/>
  <c r="M52" i="1" s="1"/>
  <c r="L51" i="1"/>
  <c r="L52" i="1" s="1"/>
  <c r="L54" i="1" s="1"/>
  <c r="H38" i="10" l="1"/>
  <c r="H39" i="10" s="1"/>
  <c r="H40" i="10" s="1"/>
  <c r="M53" i="1"/>
  <c r="E53" i="1"/>
  <c r="L53" i="1"/>
  <c r="I54" i="1"/>
  <c r="I53" i="1"/>
  <c r="E54" i="1"/>
  <c r="J53" i="1"/>
  <c r="J54" i="1"/>
  <c r="K53" i="1"/>
  <c r="K54" i="1"/>
  <c r="M54" i="1"/>
  <c r="H53" i="1"/>
  <c r="H54" i="1"/>
  <c r="F53" i="1"/>
  <c r="F54" i="1"/>
  <c r="G53" i="1"/>
  <c r="G54" i="1"/>
  <c r="D12" i="9" l="1"/>
  <c r="D15" i="9" s="1"/>
  <c r="D23" i="1"/>
  <c r="BO8" i="2" l="1"/>
  <c r="BO9" i="2" s="1"/>
  <c r="BP8" i="2"/>
  <c r="BP9" i="2" s="1"/>
  <c r="BQ8" i="2"/>
  <c r="BQ9" i="2" s="1"/>
  <c r="BR8" i="2"/>
  <c r="BR9" i="2" s="1"/>
  <c r="BS8" i="2"/>
  <c r="BS9" i="2" s="1"/>
  <c r="BT8" i="2"/>
  <c r="BT9" i="2" s="1"/>
  <c r="BU8" i="2"/>
  <c r="BU9" i="2" s="1"/>
  <c r="BV8" i="2"/>
  <c r="BV9" i="2" s="1"/>
  <c r="BW8" i="2"/>
  <c r="BW9" i="2" s="1"/>
  <c r="BX8" i="2"/>
  <c r="BX9" i="2" s="1"/>
  <c r="BY8" i="2"/>
  <c r="BY9" i="2" s="1"/>
  <c r="BZ8" i="2"/>
  <c r="BZ9" i="2" s="1"/>
  <c r="CA8" i="2"/>
  <c r="CA9" i="2" s="1"/>
  <c r="CB8" i="2"/>
  <c r="CB9" i="2" s="1"/>
  <c r="CC8" i="2"/>
  <c r="CC9" i="2" s="1"/>
  <c r="CD8" i="2"/>
  <c r="CD9" i="2" s="1"/>
  <c r="CE8" i="2"/>
  <c r="CE9" i="2" s="1"/>
  <c r="CF8" i="2"/>
  <c r="CF9" i="2" s="1"/>
  <c r="CG8" i="2"/>
  <c r="CG9" i="2" s="1"/>
  <c r="CH8" i="2"/>
  <c r="CH9" i="2" s="1"/>
  <c r="CI8" i="2"/>
  <c r="CI9" i="2" s="1"/>
  <c r="CJ8" i="2"/>
  <c r="CJ9" i="2" s="1"/>
  <c r="CK8" i="2"/>
  <c r="CK9" i="2" s="1"/>
  <c r="CL8" i="2"/>
  <c r="CL9" i="2" s="1"/>
  <c r="CM8" i="2"/>
  <c r="CM9" i="2" s="1"/>
  <c r="CN8" i="2"/>
  <c r="CN9" i="2" s="1"/>
  <c r="CO8" i="2"/>
  <c r="CO9" i="2" s="1"/>
  <c r="CP8" i="2"/>
  <c r="CP9" i="2" s="1"/>
  <c r="AO8" i="2"/>
  <c r="AO9" i="2" s="1"/>
  <c r="AP8" i="2"/>
  <c r="AP9" i="2" s="1"/>
  <c r="AQ8" i="2"/>
  <c r="AQ9" i="2" s="1"/>
  <c r="AR8" i="2"/>
  <c r="AR9" i="2" s="1"/>
  <c r="AS8" i="2"/>
  <c r="AS9" i="2" s="1"/>
  <c r="AT8" i="2"/>
  <c r="AT9" i="2" s="1"/>
  <c r="AU8" i="2"/>
  <c r="AU9" i="2" s="1"/>
  <c r="AV8" i="2"/>
  <c r="AV9" i="2" s="1"/>
  <c r="AW8" i="2"/>
  <c r="AW9" i="2" s="1"/>
  <c r="AX8" i="2"/>
  <c r="AX9" i="2" s="1"/>
  <c r="AY8" i="2"/>
  <c r="AY9" i="2" s="1"/>
  <c r="AZ8" i="2"/>
  <c r="AZ9" i="2" s="1"/>
  <c r="BA8" i="2"/>
  <c r="BA9" i="2" s="1"/>
  <c r="BB8" i="2"/>
  <c r="BB9" i="2" s="1"/>
  <c r="BC8" i="2"/>
  <c r="BC9" i="2" s="1"/>
  <c r="BD8" i="2"/>
  <c r="BD9" i="2" s="1"/>
  <c r="BE8" i="2"/>
  <c r="BE9" i="2" s="1"/>
  <c r="BF8" i="2"/>
  <c r="BF9" i="2" s="1"/>
  <c r="BG8" i="2"/>
  <c r="BG9" i="2" s="1"/>
  <c r="BH8" i="2"/>
  <c r="BH9" i="2" s="1"/>
  <c r="BI8" i="2"/>
  <c r="BI9" i="2" s="1"/>
  <c r="BJ8" i="2"/>
  <c r="BJ9" i="2" s="1"/>
  <c r="BK8" i="2"/>
  <c r="BK9" i="2" s="1"/>
  <c r="BL8" i="2"/>
  <c r="BL9" i="2" s="1"/>
  <c r="BM8" i="2"/>
  <c r="BM9" i="2" s="1"/>
  <c r="BN8" i="2"/>
  <c r="BN9" i="2" s="1"/>
  <c r="D60" i="1"/>
  <c r="D59" i="1"/>
  <c r="D58" i="1"/>
  <c r="D57" i="1"/>
  <c r="D76" i="1" l="1"/>
  <c r="D92" i="1" s="1"/>
  <c r="D77" i="1"/>
  <c r="D87" i="1" s="1"/>
  <c r="E68" i="1"/>
  <c r="E69" i="1" s="1"/>
  <c r="H68" i="1"/>
  <c r="H69" i="1" s="1"/>
  <c r="E64" i="1"/>
  <c r="E65" i="1" s="1"/>
  <c r="F68" i="1"/>
  <c r="F69" i="1" s="1"/>
  <c r="J68" i="1"/>
  <c r="J69" i="1" s="1"/>
  <c r="I64" i="1"/>
  <c r="I65" i="1" s="1"/>
  <c r="M64" i="1"/>
  <c r="M65" i="1" s="1"/>
  <c r="I68" i="1"/>
  <c r="I69" i="1" s="1"/>
  <c r="G68" i="1"/>
  <c r="G69" i="1" s="1"/>
  <c r="K68" i="1"/>
  <c r="K69" i="1" s="1"/>
  <c r="F64" i="1"/>
  <c r="F65" i="1" s="1"/>
  <c r="J64" i="1"/>
  <c r="J65" i="1" s="1"/>
  <c r="M68" i="1"/>
  <c r="M69" i="1" s="1"/>
  <c r="H64" i="1"/>
  <c r="H65" i="1" s="1"/>
  <c r="L68" i="1"/>
  <c r="L69" i="1" s="1"/>
  <c r="G64" i="1"/>
  <c r="G65" i="1" s="1"/>
  <c r="K64" i="1"/>
  <c r="K65" i="1" s="1"/>
  <c r="L64" i="1"/>
  <c r="L65" i="1" s="1"/>
  <c r="D16" i="1"/>
  <c r="M67" i="1" l="1"/>
  <c r="D94" i="1"/>
  <c r="D91" i="1" s="1"/>
  <c r="D93" i="1" s="1"/>
  <c r="D95" i="1" s="1"/>
  <c r="E72" i="1"/>
  <c r="E89" i="1" s="1"/>
  <c r="E90" i="1" s="1"/>
  <c r="E71" i="1"/>
  <c r="E70" i="1"/>
  <c r="E67" i="1"/>
  <c r="G66" i="1"/>
  <c r="G67" i="1"/>
  <c r="E66" i="1"/>
  <c r="L66" i="1"/>
  <c r="L67" i="1"/>
  <c r="J66" i="1"/>
  <c r="J67" i="1"/>
  <c r="I66" i="1"/>
  <c r="I67" i="1"/>
  <c r="K67" i="1"/>
  <c r="K66" i="1"/>
  <c r="H66" i="1"/>
  <c r="H67" i="1"/>
  <c r="F66" i="1"/>
  <c r="F67" i="1"/>
  <c r="M66" i="1"/>
  <c r="L70" i="1"/>
  <c r="L71" i="1"/>
  <c r="L72" i="1"/>
  <c r="L89" i="1" s="1"/>
  <c r="L90" i="1" s="1"/>
  <c r="G70" i="1"/>
  <c r="G71" i="1"/>
  <c r="G72" i="1"/>
  <c r="G89" i="1" s="1"/>
  <c r="G90" i="1" s="1"/>
  <c r="J70" i="1"/>
  <c r="J71" i="1"/>
  <c r="J72" i="1"/>
  <c r="J89" i="1" s="1"/>
  <c r="J90" i="1" s="1"/>
  <c r="F70" i="1"/>
  <c r="F71" i="1"/>
  <c r="F72" i="1"/>
  <c r="F89" i="1" s="1"/>
  <c r="F90" i="1" s="1"/>
  <c r="H71" i="1"/>
  <c r="H72" i="1"/>
  <c r="H89" i="1" s="1"/>
  <c r="H90" i="1" s="1"/>
  <c r="H70" i="1"/>
  <c r="I70" i="1"/>
  <c r="I71" i="1"/>
  <c r="I72" i="1"/>
  <c r="I89" i="1" s="1"/>
  <c r="I90" i="1" s="1"/>
  <c r="M70" i="1"/>
  <c r="M71" i="1"/>
  <c r="M72" i="1"/>
  <c r="M89" i="1" s="1"/>
  <c r="M90" i="1" s="1"/>
  <c r="K70" i="1"/>
  <c r="K71" i="1"/>
  <c r="K72" i="1"/>
  <c r="K89" i="1" s="1"/>
  <c r="K90" i="1" s="1"/>
  <c r="P8" i="2"/>
  <c r="P9" i="2" s="1"/>
  <c r="Q8" i="2"/>
  <c r="Q9" i="2" s="1"/>
  <c r="O9" i="2"/>
  <c r="E75" i="1" l="1"/>
  <c r="E76" i="1" s="1"/>
  <c r="E73" i="1"/>
  <c r="E88" i="1" s="1"/>
  <c r="M74" i="1"/>
  <c r="E74" i="1"/>
  <c r="J75" i="1"/>
  <c r="L75" i="1"/>
  <c r="F75" i="1"/>
  <c r="G75" i="1"/>
  <c r="H75" i="1"/>
  <c r="K75" i="1"/>
  <c r="M75" i="1"/>
  <c r="I75" i="1"/>
  <c r="D14" i="2"/>
  <c r="X10" i="2" l="1"/>
  <c r="AF10" i="2"/>
  <c r="AN10" i="2"/>
  <c r="V11" i="2"/>
  <c r="AA11" i="2"/>
  <c r="AF11" i="2"/>
  <c r="AF16" i="2" s="1"/>
  <c r="AL11" i="2"/>
  <c r="S12" i="2"/>
  <c r="W12" i="2"/>
  <c r="AA12" i="2"/>
  <c r="AE12" i="2"/>
  <c r="AI12" i="2"/>
  <c r="AM12" i="2"/>
  <c r="R11" i="2"/>
  <c r="AB11" i="2"/>
  <c r="AM11" i="2"/>
  <c r="X12" i="2"/>
  <c r="X13" i="2" s="1"/>
  <c r="X14" i="2" s="1"/>
  <c r="X15" i="2" s="1"/>
  <c r="AB12" i="2"/>
  <c r="AJ12" i="2"/>
  <c r="AN12" i="2"/>
  <c r="AN13" i="2" s="1"/>
  <c r="AN14" i="2" s="1"/>
  <c r="AN15" i="2" s="1"/>
  <c r="W10" i="2"/>
  <c r="AM10" i="2"/>
  <c r="AE11" i="2"/>
  <c r="R12" i="2"/>
  <c r="AD12" i="2"/>
  <c r="W11" i="2"/>
  <c r="AH11" i="2"/>
  <c r="T12" i="2"/>
  <c r="T13" i="2" s="1"/>
  <c r="T14" i="2" s="1"/>
  <c r="T15" i="2" s="1"/>
  <c r="AF12" i="2"/>
  <c r="AE10" i="2"/>
  <c r="T11" i="2"/>
  <c r="AJ11" i="2"/>
  <c r="Z12" i="2"/>
  <c r="AL12" i="2"/>
  <c r="T10" i="2"/>
  <c r="AB10" i="2"/>
  <c r="AJ10" i="2"/>
  <c r="S11" i="2"/>
  <c r="X11" i="2"/>
  <c r="AD11" i="2"/>
  <c r="AI11" i="2"/>
  <c r="AN11" i="2"/>
  <c r="U12" i="2"/>
  <c r="Y12" i="2"/>
  <c r="AC12" i="2"/>
  <c r="AG12" i="2"/>
  <c r="AK12" i="2"/>
  <c r="Z11" i="2"/>
  <c r="V12" i="2"/>
  <c r="AH12" i="2"/>
  <c r="AA10" i="2"/>
  <c r="Z10" i="2"/>
  <c r="AK11" i="2"/>
  <c r="U11" i="2"/>
  <c r="AL10" i="2"/>
  <c r="AI10" i="2"/>
  <c r="AG11" i="2"/>
  <c r="AH10" i="2"/>
  <c r="U10" i="2"/>
  <c r="V10" i="2"/>
  <c r="AD10" i="2"/>
  <c r="AC11" i="2"/>
  <c r="S10" i="2"/>
  <c r="R10" i="2"/>
  <c r="Y11" i="2"/>
  <c r="AK10" i="2"/>
  <c r="Y10" i="2"/>
  <c r="AC10" i="2"/>
  <c r="AG10" i="2"/>
  <c r="E92" i="1"/>
  <c r="E77" i="1"/>
  <c r="E87" i="1" s="1"/>
  <c r="E94" i="1" s="1"/>
  <c r="Q10" i="2"/>
  <c r="Q11" i="2"/>
  <c r="AO11" i="2"/>
  <c r="AS11" i="2"/>
  <c r="AW11" i="2"/>
  <c r="BA11" i="2"/>
  <c r="BE11" i="2"/>
  <c r="BI11" i="2"/>
  <c r="BM11" i="2"/>
  <c r="BQ11" i="2"/>
  <c r="BU11" i="2"/>
  <c r="BY11" i="2"/>
  <c r="CC11" i="2"/>
  <c r="CG11" i="2"/>
  <c r="CK11" i="2"/>
  <c r="CO11" i="2"/>
  <c r="AP12" i="2"/>
  <c r="AT12" i="2"/>
  <c r="AX12" i="2"/>
  <c r="BB12" i="2"/>
  <c r="BF12" i="2"/>
  <c r="BJ12" i="2"/>
  <c r="BN12" i="2"/>
  <c r="BR12" i="2"/>
  <c r="BV12" i="2"/>
  <c r="BZ12" i="2"/>
  <c r="CD12" i="2"/>
  <c r="CH12" i="2"/>
  <c r="CL12" i="2"/>
  <c r="CP12" i="2"/>
  <c r="AP11" i="2"/>
  <c r="AT11" i="2"/>
  <c r="AX11" i="2"/>
  <c r="BB11" i="2"/>
  <c r="BF11" i="2"/>
  <c r="BJ11" i="2"/>
  <c r="BN11" i="2"/>
  <c r="BR11" i="2"/>
  <c r="BV11" i="2"/>
  <c r="BZ11" i="2"/>
  <c r="CD11" i="2"/>
  <c r="CH11" i="2"/>
  <c r="CL11" i="2"/>
  <c r="CP11" i="2"/>
  <c r="AQ12" i="2"/>
  <c r="AU12" i="2"/>
  <c r="AY12" i="2"/>
  <c r="BC12" i="2"/>
  <c r="BG12" i="2"/>
  <c r="BK12" i="2"/>
  <c r="BO12" i="2"/>
  <c r="BS12" i="2"/>
  <c r="BW12" i="2"/>
  <c r="CA12" i="2"/>
  <c r="CE12" i="2"/>
  <c r="CI12" i="2"/>
  <c r="CM12" i="2"/>
  <c r="AQ11" i="2"/>
  <c r="AY11" i="2"/>
  <c r="BG11" i="2"/>
  <c r="BO11" i="2"/>
  <c r="BW11" i="2"/>
  <c r="CE11" i="2"/>
  <c r="CM11" i="2"/>
  <c r="AR12" i="2"/>
  <c r="AZ12" i="2"/>
  <c r="BH12" i="2"/>
  <c r="BP12" i="2"/>
  <c r="BX12" i="2"/>
  <c r="CF12" i="2"/>
  <c r="CN12" i="2"/>
  <c r="BE12" i="2"/>
  <c r="CC12" i="2"/>
  <c r="O11" i="2"/>
  <c r="AR11" i="2"/>
  <c r="AZ11" i="2"/>
  <c r="BH11" i="2"/>
  <c r="BP11" i="2"/>
  <c r="BX11" i="2"/>
  <c r="CF11" i="2"/>
  <c r="CN11" i="2"/>
  <c r="AS12" i="2"/>
  <c r="BA12" i="2"/>
  <c r="BI12" i="2"/>
  <c r="BQ12" i="2"/>
  <c r="BY12" i="2"/>
  <c r="CG12" i="2"/>
  <c r="CO12" i="2"/>
  <c r="BT11" i="2"/>
  <c r="CJ11" i="2"/>
  <c r="AW12" i="2"/>
  <c r="BU12" i="2"/>
  <c r="AU11" i="2"/>
  <c r="BC11" i="2"/>
  <c r="BK11" i="2"/>
  <c r="BS11" i="2"/>
  <c r="CA11" i="2"/>
  <c r="CI11" i="2"/>
  <c r="P12" i="2"/>
  <c r="AV12" i="2"/>
  <c r="BD12" i="2"/>
  <c r="BL12" i="2"/>
  <c r="BT12" i="2"/>
  <c r="CB12" i="2"/>
  <c r="CJ12" i="2"/>
  <c r="O12" i="2"/>
  <c r="AU10" i="2"/>
  <c r="BK10" i="2"/>
  <c r="BZ10" i="2"/>
  <c r="CI10" i="2"/>
  <c r="P11" i="2"/>
  <c r="AV11" i="2"/>
  <c r="BD11" i="2"/>
  <c r="BL11" i="2"/>
  <c r="CB11" i="2"/>
  <c r="Q12" i="2"/>
  <c r="AO12" i="2"/>
  <c r="BM12" i="2"/>
  <c r="CK12" i="2"/>
  <c r="BG10" i="2"/>
  <c r="BC10" i="2"/>
  <c r="CM10" i="2"/>
  <c r="BO10" i="2"/>
  <c r="AV10" i="2"/>
  <c r="BD10" i="2"/>
  <c r="BT10" i="2"/>
  <c r="AT10" i="2"/>
  <c r="BV10" i="2"/>
  <c r="AX10" i="2"/>
  <c r="BA10" i="2"/>
  <c r="CC10" i="2"/>
  <c r="BP10" i="2"/>
  <c r="CG10" i="2"/>
  <c r="AY10" i="2"/>
  <c r="CA10" i="2"/>
  <c r="CL10" i="2"/>
  <c r="AR10" i="2"/>
  <c r="BJ10" i="2"/>
  <c r="AP10" i="2"/>
  <c r="BR10" i="2"/>
  <c r="CJ10" i="2"/>
  <c r="BM10" i="2"/>
  <c r="AW10" i="2"/>
  <c r="CO10" i="2"/>
  <c r="BY10" i="2"/>
  <c r="BH10" i="2"/>
  <c r="CF10" i="2"/>
  <c r="CD10" i="2"/>
  <c r="BN10" i="2"/>
  <c r="AO10" i="2"/>
  <c r="CE10" i="2"/>
  <c r="AQ10" i="2"/>
  <c r="BW10" i="2"/>
  <c r="CH10" i="2"/>
  <c r="CB10" i="2"/>
  <c r="CN10" i="2"/>
  <c r="BF10" i="2"/>
  <c r="BL10" i="2"/>
  <c r="BX10" i="2"/>
  <c r="BI10" i="2"/>
  <c r="AS10" i="2"/>
  <c r="AS16" i="2" s="1"/>
  <c r="CK10" i="2"/>
  <c r="BU10" i="2"/>
  <c r="CP10" i="2"/>
  <c r="BS10" i="2"/>
  <c r="BB10" i="2"/>
  <c r="AZ10" i="2"/>
  <c r="BE10" i="2"/>
  <c r="BQ10" i="2"/>
  <c r="O10" i="2"/>
  <c r="P10" i="2"/>
  <c r="D97" i="1"/>
  <c r="D17" i="1"/>
  <c r="D101" i="1" s="1"/>
  <c r="D102" i="1" s="1"/>
  <c r="E98" i="1"/>
  <c r="AF13" i="2" l="1"/>
  <c r="AF14" i="2" s="1"/>
  <c r="AF15" i="2" s="1"/>
  <c r="AJ16" i="2"/>
  <c r="BE16" i="2"/>
  <c r="X16" i="2"/>
  <c r="AN16" i="2"/>
  <c r="R16" i="2"/>
  <c r="R13" i="2"/>
  <c r="R14" i="2" s="1"/>
  <c r="R15" i="2" s="1"/>
  <c r="Z16" i="2"/>
  <c r="Z13" i="2"/>
  <c r="Z14" i="2" s="1"/>
  <c r="Z15" i="2" s="1"/>
  <c r="Y13" i="2"/>
  <c r="Y14" i="2" s="1"/>
  <c r="Y15" i="2" s="1"/>
  <c r="Y16" i="2"/>
  <c r="S16" i="2"/>
  <c r="S13" i="2"/>
  <c r="S14" i="2" s="1"/>
  <c r="S15" i="2" s="1"/>
  <c r="U13" i="2"/>
  <c r="U14" i="2" s="1"/>
  <c r="U15" i="2" s="1"/>
  <c r="U16" i="2"/>
  <c r="AL13" i="2"/>
  <c r="AL14" i="2" s="1"/>
  <c r="AL15" i="2" s="1"/>
  <c r="AL16" i="2"/>
  <c r="AA13" i="2"/>
  <c r="AA14" i="2" s="1"/>
  <c r="AA15" i="2" s="1"/>
  <c r="AA16" i="2"/>
  <c r="T16" i="2"/>
  <c r="AJ13" i="2"/>
  <c r="AJ14" i="2" s="1"/>
  <c r="AJ15" i="2" s="1"/>
  <c r="AB16" i="2"/>
  <c r="AC13" i="2"/>
  <c r="AC14" i="2" s="1"/>
  <c r="AC15" i="2" s="1"/>
  <c r="AC16" i="2"/>
  <c r="AI13" i="2"/>
  <c r="AI14" i="2" s="1"/>
  <c r="AI15" i="2" s="1"/>
  <c r="AI16" i="2"/>
  <c r="AK13" i="2"/>
  <c r="AK14" i="2" s="1"/>
  <c r="AK15" i="2" s="1"/>
  <c r="AK16" i="2"/>
  <c r="AH13" i="2"/>
  <c r="AH14" i="2" s="1"/>
  <c r="AH15" i="2" s="1"/>
  <c r="AH16" i="2"/>
  <c r="AE13" i="2"/>
  <c r="AE14" i="2" s="1"/>
  <c r="AE15" i="2" s="1"/>
  <c r="AE5" i="2" s="1"/>
  <c r="AE16" i="2"/>
  <c r="AM13" i="2"/>
  <c r="AM14" i="2" s="1"/>
  <c r="AM15" i="2" s="1"/>
  <c r="AM16" i="2"/>
  <c r="AB13" i="2"/>
  <c r="AB14" i="2" s="1"/>
  <c r="AB15" i="2" s="1"/>
  <c r="V16" i="2"/>
  <c r="V13" i="2"/>
  <c r="V14" i="2" s="1"/>
  <c r="V15" i="2" s="1"/>
  <c r="AG16" i="2"/>
  <c r="AG13" i="2"/>
  <c r="AG14" i="2" s="1"/>
  <c r="AG15" i="2" s="1"/>
  <c r="AD13" i="2"/>
  <c r="AD14" i="2" s="1"/>
  <c r="AD15" i="2" s="1"/>
  <c r="AD16" i="2"/>
  <c r="W13" i="2"/>
  <c r="W14" i="2" s="1"/>
  <c r="W15" i="2" s="1"/>
  <c r="W16" i="2"/>
  <c r="E91" i="1"/>
  <c r="E93" i="1" s="1"/>
  <c r="E95" i="1" s="1"/>
  <c r="M101" i="1"/>
  <c r="E101" i="1"/>
  <c r="E102" i="1" s="1"/>
  <c r="G98" i="1"/>
  <c r="M98" i="1"/>
  <c r="F98" i="1"/>
  <c r="K98" i="1"/>
  <c r="J98" i="1"/>
  <c r="L98" i="1"/>
  <c r="H98" i="1"/>
  <c r="I98" i="1"/>
  <c r="H101" i="1"/>
  <c r="G101" i="1"/>
  <c r="F101" i="1"/>
  <c r="J101" i="1"/>
  <c r="K101" i="1"/>
  <c r="L101" i="1"/>
  <c r="I101" i="1"/>
  <c r="CC16" i="2"/>
  <c r="AE3" i="2"/>
  <c r="AE4" i="2" s="1"/>
  <c r="AW16" i="2"/>
  <c r="BM16" i="2"/>
  <c r="BI16" i="2"/>
  <c r="BY16" i="2"/>
  <c r="CO16" i="2"/>
  <c r="BU16" i="2"/>
  <c r="AO13" i="2"/>
  <c r="AO14" i="2" s="1"/>
  <c r="AO15" i="2" s="1"/>
  <c r="BL13" i="2"/>
  <c r="BL14" i="2" s="1"/>
  <c r="BL15" i="2" s="1"/>
  <c r="BT16" i="2"/>
  <c r="AS13" i="2"/>
  <c r="AS14" i="2" s="1"/>
  <c r="AS15" i="2" s="1"/>
  <c r="BH16" i="2"/>
  <c r="BE13" i="2"/>
  <c r="BE14" i="2" s="1"/>
  <c r="BE15" i="2" s="1"/>
  <c r="CF13" i="2"/>
  <c r="CF14" i="2" s="1"/>
  <c r="CF15" i="2" s="1"/>
  <c r="CK16" i="2"/>
  <c r="Q13" i="2"/>
  <c r="Q14" i="2" s="1"/>
  <c r="Q15" i="2" s="1"/>
  <c r="Q16" i="2"/>
  <c r="AO16" i="2"/>
  <c r="CD16" i="2"/>
  <c r="CD13" i="2"/>
  <c r="CD14" i="2" s="1"/>
  <c r="CD15" i="2" s="1"/>
  <c r="O13" i="2"/>
  <c r="O14" i="2" s="1"/>
  <c r="O15" i="2" s="1"/>
  <c r="O16" i="2"/>
  <c r="BB16" i="2"/>
  <c r="BB13" i="2"/>
  <c r="BB14" i="2" s="1"/>
  <c r="BB15" i="2" s="1"/>
  <c r="CE13" i="2"/>
  <c r="CE14" i="2" s="1"/>
  <c r="CE15" i="2" s="1"/>
  <c r="CE16" i="2"/>
  <c r="BR16" i="2"/>
  <c r="BR13" i="2"/>
  <c r="BR14" i="2" s="1"/>
  <c r="BR15" i="2" s="1"/>
  <c r="BV16" i="2"/>
  <c r="BV13" i="2"/>
  <c r="BV14" i="2" s="1"/>
  <c r="BV15" i="2" s="1"/>
  <c r="BG13" i="2"/>
  <c r="BG14" i="2" s="1"/>
  <c r="BG15" i="2" s="1"/>
  <c r="BG16" i="2"/>
  <c r="AV16" i="2"/>
  <c r="BZ16" i="2"/>
  <c r="BZ13" i="2"/>
  <c r="BZ14" i="2" s="1"/>
  <c r="BZ15" i="2" s="1"/>
  <c r="CJ13" i="2"/>
  <c r="CJ14" i="2" s="1"/>
  <c r="CJ15" i="2" s="1"/>
  <c r="BD13" i="2"/>
  <c r="BD14" i="2" s="1"/>
  <c r="BD15" i="2" s="1"/>
  <c r="AW13" i="2"/>
  <c r="AW14" i="2" s="1"/>
  <c r="AW15" i="2" s="1"/>
  <c r="BQ13" i="2"/>
  <c r="BQ14" i="2" s="1"/>
  <c r="BQ15" i="2" s="1"/>
  <c r="CF16" i="2"/>
  <c r="AZ16" i="2"/>
  <c r="BX13" i="2"/>
  <c r="BX14" i="2" s="1"/>
  <c r="BX15" i="2" s="1"/>
  <c r="AR13" i="2"/>
  <c r="AR14" i="2" s="1"/>
  <c r="AR15" i="2" s="1"/>
  <c r="AQ16" i="2"/>
  <c r="AQ13" i="2"/>
  <c r="AQ14" i="2" s="1"/>
  <c r="AQ15" i="2" s="1"/>
  <c r="AY13" i="2"/>
  <c r="AY14" i="2" s="1"/>
  <c r="AY15" i="2" s="1"/>
  <c r="AY16" i="2"/>
  <c r="BC13" i="2"/>
  <c r="BC14" i="2" s="1"/>
  <c r="BC15" i="2" s="1"/>
  <c r="BC16" i="2"/>
  <c r="CN16" i="2"/>
  <c r="AZ13" i="2"/>
  <c r="AZ14" i="2" s="1"/>
  <c r="AZ15" i="2" s="1"/>
  <c r="BQ16" i="2"/>
  <c r="BS13" i="2"/>
  <c r="BS14" i="2" s="1"/>
  <c r="BS15" i="2" s="1"/>
  <c r="BS16" i="2"/>
  <c r="CH16" i="2"/>
  <c r="CH13" i="2"/>
  <c r="CH14" i="2" s="1"/>
  <c r="CH15" i="2" s="1"/>
  <c r="AP16" i="2"/>
  <c r="AP13" i="2"/>
  <c r="AP14" i="2" s="1"/>
  <c r="AP15" i="2" s="1"/>
  <c r="CL16" i="2"/>
  <c r="CL13" i="2"/>
  <c r="CL14" i="2" s="1"/>
  <c r="CL15" i="2" s="1"/>
  <c r="CG16" i="2"/>
  <c r="BA16" i="2"/>
  <c r="AT16" i="2"/>
  <c r="AT13" i="2"/>
  <c r="AT14" i="2" s="1"/>
  <c r="AT15" i="2" s="1"/>
  <c r="BO13" i="2"/>
  <c r="BO14" i="2" s="1"/>
  <c r="BO15" i="2" s="1"/>
  <c r="BO16" i="2"/>
  <c r="CK13" i="2"/>
  <c r="CK14" i="2" s="1"/>
  <c r="CK15" i="2" s="1"/>
  <c r="CB16" i="2"/>
  <c r="BK13" i="2"/>
  <c r="BK14" i="2" s="1"/>
  <c r="BK15" i="2" s="1"/>
  <c r="BK16" i="2"/>
  <c r="CB13" i="2"/>
  <c r="CB14" i="2" s="1"/>
  <c r="CB15" i="2" s="1"/>
  <c r="AV13" i="2"/>
  <c r="AV14" i="2" s="1"/>
  <c r="AV15" i="2" s="1"/>
  <c r="P13" i="2"/>
  <c r="P14" i="2" s="1"/>
  <c r="P15" i="2" s="1"/>
  <c r="CO13" i="2"/>
  <c r="CO14" i="2" s="1"/>
  <c r="CO15" i="2" s="1"/>
  <c r="BI13" i="2"/>
  <c r="BI14" i="2" s="1"/>
  <c r="BI15" i="2" s="1"/>
  <c r="BX16" i="2"/>
  <c r="AR16" i="2"/>
  <c r="BP13" i="2"/>
  <c r="BP14" i="2" s="1"/>
  <c r="BP15" i="2" s="1"/>
  <c r="BD16" i="2"/>
  <c r="CI13" i="2"/>
  <c r="CI14" i="2" s="1"/>
  <c r="CI15" i="2" s="1"/>
  <c r="CI16" i="2"/>
  <c r="BU13" i="2"/>
  <c r="BU14" i="2" s="1"/>
  <c r="BU15" i="2" s="1"/>
  <c r="BY13" i="2"/>
  <c r="BY14" i="2" s="1"/>
  <c r="BY15" i="2" s="1"/>
  <c r="CP16" i="2"/>
  <c r="CP13" i="2"/>
  <c r="CP14" i="2" s="1"/>
  <c r="CP15" i="2" s="1"/>
  <c r="BF16" i="2"/>
  <c r="BF13" i="2"/>
  <c r="BF14" i="2" s="1"/>
  <c r="BF15" i="2" s="1"/>
  <c r="BW16" i="2"/>
  <c r="BW13" i="2"/>
  <c r="BW14" i="2" s="1"/>
  <c r="BW15" i="2" s="1"/>
  <c r="BN16" i="2"/>
  <c r="BN13" i="2"/>
  <c r="BN14" i="2" s="1"/>
  <c r="BN15" i="2" s="1"/>
  <c r="BJ16" i="2"/>
  <c r="BJ13" i="2"/>
  <c r="BJ14" i="2" s="1"/>
  <c r="BJ15" i="2" s="1"/>
  <c r="CA16" i="2"/>
  <c r="CA13" i="2"/>
  <c r="CA14" i="2" s="1"/>
  <c r="CA15" i="2" s="1"/>
  <c r="AX16" i="2"/>
  <c r="AX13" i="2"/>
  <c r="AX14" i="2" s="1"/>
  <c r="AX15" i="2" s="1"/>
  <c r="CM13" i="2"/>
  <c r="CM14" i="2" s="1"/>
  <c r="CM15" i="2" s="1"/>
  <c r="CM16" i="2"/>
  <c r="BM13" i="2"/>
  <c r="BM14" i="2" s="1"/>
  <c r="BM15" i="2" s="1"/>
  <c r="BL16" i="2"/>
  <c r="P16" i="2"/>
  <c r="AU13" i="2"/>
  <c r="AU14" i="2" s="1"/>
  <c r="AU15" i="2" s="1"/>
  <c r="AU16" i="2"/>
  <c r="BT13" i="2"/>
  <c r="BT14" i="2" s="1"/>
  <c r="BT15" i="2" s="1"/>
  <c r="CJ16" i="2"/>
  <c r="CG13" i="2"/>
  <c r="CG14" i="2" s="1"/>
  <c r="CG15" i="2" s="1"/>
  <c r="BA13" i="2"/>
  <c r="BA14" i="2" s="1"/>
  <c r="BA15" i="2" s="1"/>
  <c r="BP16" i="2"/>
  <c r="CC13" i="2"/>
  <c r="CC14" i="2" s="1"/>
  <c r="CC15" i="2" s="1"/>
  <c r="CN13" i="2"/>
  <c r="CN14" i="2" s="1"/>
  <c r="CN15" i="2" s="1"/>
  <c r="BH13" i="2"/>
  <c r="BH14" i="2" s="1"/>
  <c r="BH15" i="2" s="1"/>
  <c r="D6" i="1"/>
  <c r="D99" i="1" s="1"/>
  <c r="D100" i="1" s="1"/>
  <c r="D103" i="1" s="1"/>
  <c r="AE6" i="2" l="1"/>
  <c r="E99" i="1"/>
  <c r="E100" i="1" s="1"/>
  <c r="E103" i="1" s="1"/>
  <c r="F99" i="1"/>
  <c r="K99" i="1"/>
  <c r="I99" i="1"/>
  <c r="J99" i="1"/>
  <c r="L99" i="1"/>
  <c r="H99" i="1"/>
  <c r="M99" i="1"/>
  <c r="M100" i="1" s="1"/>
  <c r="G99" i="1"/>
  <c r="CB3" i="2"/>
  <c r="CB4" i="2" s="1"/>
  <c r="CH3" i="2"/>
  <c r="CH4" i="2" s="1"/>
  <c r="BQ3" i="2"/>
  <c r="BQ4" i="2" s="1"/>
  <c r="BB3" i="2"/>
  <c r="BB4" i="2" s="1"/>
  <c r="Q5" i="2"/>
  <c r="Q6" i="2" s="1"/>
  <c r="Q3" i="2"/>
  <c r="Q4" i="2" s="1"/>
  <c r="BH3" i="2"/>
  <c r="BH4" i="2" s="1"/>
  <c r="AU3" i="2"/>
  <c r="AU4" i="2" s="1"/>
  <c r="CA3" i="2"/>
  <c r="CA4" i="2" s="1"/>
  <c r="BW3" i="2"/>
  <c r="BW4" i="2" s="1"/>
  <c r="CP3" i="2"/>
  <c r="CP4" i="2" s="1"/>
  <c r="BY3" i="2"/>
  <c r="BY4" i="2" s="1"/>
  <c r="CO3" i="2"/>
  <c r="CO4" i="2" s="1"/>
  <c r="CK3" i="2"/>
  <c r="CK4" i="2" s="1"/>
  <c r="BS3" i="2"/>
  <c r="BS4" i="2" s="1"/>
  <c r="AD5" i="2"/>
  <c r="AD6" i="2" s="1"/>
  <c r="AD3" i="2"/>
  <c r="AD4" i="2" s="1"/>
  <c r="AZ3" i="2"/>
  <c r="AZ4" i="2" s="1"/>
  <c r="AH5" i="2"/>
  <c r="AH6" i="2" s="1"/>
  <c r="AH3" i="2"/>
  <c r="AH4" i="2" s="1"/>
  <c r="AR3" i="2"/>
  <c r="AR4" i="2" s="1"/>
  <c r="CJ3" i="2"/>
  <c r="CJ4" i="2" s="1"/>
  <c r="W5" i="2"/>
  <c r="W6" i="2" s="1"/>
  <c r="W3" i="2"/>
  <c r="W4" i="2" s="1"/>
  <c r="AS3" i="2"/>
  <c r="AS4" i="2" s="1"/>
  <c r="AO3" i="2"/>
  <c r="AO4" i="2" s="1"/>
  <c r="AB5" i="2"/>
  <c r="AB6" i="2" s="1"/>
  <c r="AB3" i="2"/>
  <c r="AB4" i="2" s="1"/>
  <c r="V5" i="2"/>
  <c r="V6" i="2" s="1"/>
  <c r="V3" i="2"/>
  <c r="V4" i="2" s="1"/>
  <c r="BM3" i="2"/>
  <c r="BM4" i="2" s="1"/>
  <c r="CI3" i="2"/>
  <c r="CI4" i="2" s="1"/>
  <c r="CL3" i="2"/>
  <c r="CL4" i="2" s="1"/>
  <c r="BC3" i="2"/>
  <c r="BC4" i="2" s="1"/>
  <c r="BD3" i="2"/>
  <c r="BD4" i="2" s="1"/>
  <c r="O5" i="2"/>
  <c r="O6" i="2" s="1"/>
  <c r="O3" i="2"/>
  <c r="O4" i="2" s="1"/>
  <c r="BL3" i="2"/>
  <c r="BL4" i="2" s="1"/>
  <c r="CN3" i="2"/>
  <c r="CN4" i="2" s="1"/>
  <c r="U5" i="2"/>
  <c r="U6" i="2" s="1"/>
  <c r="U3" i="2"/>
  <c r="U4" i="2" s="1"/>
  <c r="AN3" i="2"/>
  <c r="AN4" i="2" s="1"/>
  <c r="CM3" i="2"/>
  <c r="CM4" i="2" s="1"/>
  <c r="AI3" i="2"/>
  <c r="AI4" i="2" s="1"/>
  <c r="BU3" i="2"/>
  <c r="BU4" i="2" s="1"/>
  <c r="AJ3" i="2"/>
  <c r="AJ4" i="2" s="1"/>
  <c r="P5" i="2"/>
  <c r="P6" i="2" s="1"/>
  <c r="P3" i="2"/>
  <c r="P4" i="2" s="1"/>
  <c r="BK3" i="2"/>
  <c r="BK4" i="2" s="1"/>
  <c r="AP3" i="2"/>
  <c r="AP4" i="2" s="1"/>
  <c r="AL3" i="2"/>
  <c r="AL4" i="2" s="1"/>
  <c r="AY3" i="2"/>
  <c r="AY4" i="2" s="1"/>
  <c r="BX3" i="2"/>
  <c r="BX4" i="2" s="1"/>
  <c r="AW3" i="2"/>
  <c r="AW4" i="2" s="1"/>
  <c r="BZ3" i="2"/>
  <c r="BZ4" i="2" s="1"/>
  <c r="BG3" i="2"/>
  <c r="BG4" i="2" s="1"/>
  <c r="CF3" i="2"/>
  <c r="CF4" i="2" s="1"/>
  <c r="CG3" i="2"/>
  <c r="CG4" i="2" s="1"/>
  <c r="BI3" i="2"/>
  <c r="BI4" i="2" s="1"/>
  <c r="AT3" i="2"/>
  <c r="AT4" i="2" s="1"/>
  <c r="S3" i="2"/>
  <c r="S4" i="2" s="1"/>
  <c r="S5" i="2"/>
  <c r="S6" i="2" s="1"/>
  <c r="BR3" i="2"/>
  <c r="BR4" i="2" s="1"/>
  <c r="CD3" i="2"/>
  <c r="CD4" i="2" s="1"/>
  <c r="CC3" i="2"/>
  <c r="CC4" i="2" s="1"/>
  <c r="BA3" i="2"/>
  <c r="BA4" i="2" s="1"/>
  <c r="BT3" i="2"/>
  <c r="BT4" i="2" s="1"/>
  <c r="AX3" i="2"/>
  <c r="AX4" i="2" s="1"/>
  <c r="BJ3" i="2"/>
  <c r="BJ4" i="2" s="1"/>
  <c r="BN3" i="2"/>
  <c r="BN4" i="2" s="1"/>
  <c r="BF3" i="2"/>
  <c r="BF4" i="2" s="1"/>
  <c r="Z5" i="2"/>
  <c r="Z6" i="2" s="1"/>
  <c r="Z3" i="2"/>
  <c r="Z4" i="2" s="1"/>
  <c r="BP3" i="2"/>
  <c r="BP4" i="2" s="1"/>
  <c r="AC5" i="2"/>
  <c r="AC6" i="2" s="1"/>
  <c r="AC3" i="2"/>
  <c r="AC4" i="2" s="1"/>
  <c r="AV3" i="2"/>
  <c r="AV4" i="2" s="1"/>
  <c r="BO3" i="2"/>
  <c r="BO4" i="2" s="1"/>
  <c r="R5" i="2"/>
  <c r="R6" i="2" s="1"/>
  <c r="R3" i="2"/>
  <c r="R4" i="2" s="1"/>
  <c r="AQ3" i="2"/>
  <c r="AQ4" i="2" s="1"/>
  <c r="AA5" i="2"/>
  <c r="AA6" i="2" s="1"/>
  <c r="AA3" i="2"/>
  <c r="AA4" i="2" s="1"/>
  <c r="Y5" i="2"/>
  <c r="Y6" i="2" s="1"/>
  <c r="Y3" i="2"/>
  <c r="Y4" i="2" s="1"/>
  <c r="AK3" i="2"/>
  <c r="AK4" i="2" s="1"/>
  <c r="X5" i="2"/>
  <c r="X6" i="2" s="1"/>
  <c r="X3" i="2"/>
  <c r="X4" i="2" s="1"/>
  <c r="BV3" i="2"/>
  <c r="BV4" i="2" s="1"/>
  <c r="AM3" i="2"/>
  <c r="AM4" i="2" s="1"/>
  <c r="CE3" i="2"/>
  <c r="CE4" i="2" s="1"/>
  <c r="T5" i="2"/>
  <c r="T6" i="2" s="1"/>
  <c r="T3" i="2"/>
  <c r="T4" i="2" s="1"/>
  <c r="BE3" i="2"/>
  <c r="BE4" i="2" s="1"/>
  <c r="AF5" i="2"/>
  <c r="AF6" i="2" s="1"/>
  <c r="AF3" i="2"/>
  <c r="AF4" i="2" s="1"/>
  <c r="AG5" i="2"/>
  <c r="AG6" i="2" s="1"/>
  <c r="AG3" i="2"/>
  <c r="AG4" i="2" s="1"/>
  <c r="D16" i="2" l="1"/>
  <c r="L73" i="1"/>
  <c r="L88" i="1" s="1"/>
  <c r="L74" i="1"/>
  <c r="J73" i="1"/>
  <c r="J88" i="1" s="1"/>
  <c r="J74" i="1"/>
  <c r="I74" i="1"/>
  <c r="G100" i="1" l="1"/>
  <c r="I100" i="1"/>
  <c r="H73" i="1"/>
  <c r="H88" i="1" s="1"/>
  <c r="G74" i="1"/>
  <c r="F74" i="1"/>
  <c r="G102" i="1"/>
  <c r="K100" i="1"/>
  <c r="G73" i="1"/>
  <c r="G88" i="1" s="1"/>
  <c r="F73" i="1"/>
  <c r="F88" i="1" s="1"/>
  <c r="K73" i="1"/>
  <c r="K88" i="1" s="1"/>
  <c r="I73" i="1"/>
  <c r="I88" i="1" s="1"/>
  <c r="H74" i="1"/>
  <c r="K74" i="1"/>
  <c r="L100" i="1"/>
  <c r="M73" i="1"/>
  <c r="M88" i="1" s="1"/>
  <c r="G103" i="1" l="1"/>
  <c r="J100" i="1"/>
  <c r="F100" i="1"/>
  <c r="H102" i="1"/>
  <c r="M102" i="1"/>
  <c r="H76" i="1"/>
  <c r="H77" i="1"/>
  <c r="H87" i="1" s="1"/>
  <c r="G77" i="1"/>
  <c r="G87" i="1" s="1"/>
  <c r="G76" i="1"/>
  <c r="L102" i="1"/>
  <c r="L103" i="1" s="1"/>
  <c r="K102" i="1"/>
  <c r="K103" i="1" s="1"/>
  <c r="H100" i="1"/>
  <c r="J102" i="1"/>
  <c r="K76" i="1"/>
  <c r="K77" i="1"/>
  <c r="K87" i="1" s="1"/>
  <c r="I77" i="1"/>
  <c r="I87" i="1" s="1"/>
  <c r="I76" i="1"/>
  <c r="M76" i="1"/>
  <c r="M77" i="1"/>
  <c r="M87" i="1" s="1"/>
  <c r="I102" i="1"/>
  <c r="I103" i="1" s="1"/>
  <c r="L76" i="1"/>
  <c r="L77" i="1"/>
  <c r="L87" i="1" s="1"/>
  <c r="F102" i="1"/>
  <c r="F77" i="1"/>
  <c r="F87" i="1" s="1"/>
  <c r="F76" i="1"/>
  <c r="J77" i="1"/>
  <c r="J87" i="1" s="1"/>
  <c r="J76" i="1"/>
  <c r="M94" i="1" l="1"/>
  <c r="M91" i="1" s="1"/>
  <c r="H94" i="1"/>
  <c r="H91" i="1" s="1"/>
  <c r="K94" i="1"/>
  <c r="K91" i="1" s="1"/>
  <c r="F94" i="1"/>
  <c r="F91" i="1" s="1"/>
  <c r="I94" i="1"/>
  <c r="I91" i="1" s="1"/>
  <c r="G94" i="1"/>
  <c r="G91" i="1" s="1"/>
  <c r="J94" i="1"/>
  <c r="J91" i="1" s="1"/>
  <c r="L94" i="1"/>
  <c r="L91" i="1" s="1"/>
  <c r="M92" i="1"/>
  <c r="F103" i="1"/>
  <c r="J103" i="1"/>
  <c r="M103" i="1"/>
  <c r="J92" i="1"/>
  <c r="L92" i="1"/>
  <c r="F92" i="1"/>
  <c r="I92" i="1"/>
  <c r="G92" i="1"/>
  <c r="K92" i="1"/>
  <c r="H92" i="1"/>
  <c r="H103" i="1"/>
  <c r="M93" i="1" l="1"/>
  <c r="M95" i="1" s="1"/>
  <c r="G93" i="1"/>
  <c r="G95" i="1" s="1"/>
  <c r="I93" i="1"/>
  <c r="I95" i="1" s="1"/>
  <c r="J93" i="1"/>
  <c r="J95" i="1" s="1"/>
  <c r="L93" i="1"/>
  <c r="L95" i="1" s="1"/>
  <c r="H93" i="1"/>
  <c r="H95" i="1" s="1"/>
  <c r="F93" i="1"/>
  <c r="F95" i="1" s="1"/>
  <c r="K93" i="1"/>
  <c r="K95" i="1" s="1"/>
</calcChain>
</file>

<file path=xl/sharedStrings.xml><?xml version="1.0" encoding="utf-8"?>
<sst xmlns="http://schemas.openxmlformats.org/spreadsheetml/2006/main" count="621" uniqueCount="417">
  <si>
    <t>Grunddaten Gewässer</t>
  </si>
  <si>
    <t>OGewV</t>
  </si>
  <si>
    <t>Einzugsgebiet</t>
  </si>
  <si>
    <t>aus hydrologischen Unterlagen</t>
  </si>
  <si>
    <t>km²</t>
  </si>
  <si>
    <t>p.nat.jährl. Hochwasserspende</t>
  </si>
  <si>
    <t>l/(s*km²)</t>
  </si>
  <si>
    <t>p.nat.2-jährl. Hochwasserspende</t>
  </si>
  <si>
    <t>Faktor x</t>
  </si>
  <si>
    <t>x</t>
  </si>
  <si>
    <t>-</t>
  </si>
  <si>
    <t>Gl.(2)</t>
  </si>
  <si>
    <t>p.nat.jährl. Hochwasserabfluss</t>
  </si>
  <si>
    <t>l/s</t>
  </si>
  <si>
    <t>MNQ</t>
  </si>
  <si>
    <t>Sohlengefälle</t>
  </si>
  <si>
    <t>aus topografischer Karte</t>
  </si>
  <si>
    <t>Is</t>
  </si>
  <si>
    <t>m/m</t>
  </si>
  <si>
    <t>Rauheitsbeiwert</t>
  </si>
  <si>
    <t>Sohlenbreite</t>
  </si>
  <si>
    <t>Böschungshöhe</t>
  </si>
  <si>
    <t>Wasserspiegelbreite bei bordvollem Abfluss</t>
  </si>
  <si>
    <t>Böschungsneigung</t>
  </si>
  <si>
    <t>(A.1)</t>
  </si>
  <si>
    <t>h</t>
  </si>
  <si>
    <t>m^(1/3)/s</t>
  </si>
  <si>
    <t>Wassertemperatur (sommerliches Maximum)</t>
  </si>
  <si>
    <t>Standardvorgabe: 20°C</t>
  </si>
  <si>
    <t>T</t>
  </si>
  <si>
    <t>°C</t>
  </si>
  <si>
    <t>aus Güteuntersuchung bzw. OGewV</t>
  </si>
  <si>
    <t>in Abhängigkeit vom Gewässertyp</t>
  </si>
  <si>
    <t>mmol/l</t>
  </si>
  <si>
    <t>Gl.(6)</t>
  </si>
  <si>
    <t>gelöste Karbonate im Gewässer vor der Einleitung</t>
  </si>
  <si>
    <t>(A.48)</t>
  </si>
  <si>
    <t>Fließgeschwindigkeit bei MNQ</t>
  </si>
  <si>
    <t>v</t>
  </si>
  <si>
    <t>m/s</t>
  </si>
  <si>
    <t>Abschnittslänge zur nächst unterhalb gelegenen Einleitstelle</t>
  </si>
  <si>
    <t>m</t>
  </si>
  <si>
    <t>maximaler Einflussbereich</t>
  </si>
  <si>
    <t>Tabelle 7</t>
  </si>
  <si>
    <t>mg/l</t>
  </si>
  <si>
    <t>Vorbelastungskonzentration</t>
  </si>
  <si>
    <t>Standardvorgabe: OGewV</t>
  </si>
  <si>
    <t>Vorbelastungsfracht Gewässer</t>
  </si>
  <si>
    <t>mg/s</t>
  </si>
  <si>
    <t>(A.33)</t>
  </si>
  <si>
    <t>direktes Einzugsgebiet &amp; dessen Einleitung</t>
  </si>
  <si>
    <t>Standardvorgabe: ? mg/l</t>
  </si>
  <si>
    <t>pH-Wert des Einleitungsabflusses</t>
  </si>
  <si>
    <t>Alkalinität des Einleitungsabflusses</t>
  </si>
  <si>
    <t>Standardvorgabe: 2,8 mmol/l</t>
  </si>
  <si>
    <t>gelöste Karbonate im Einleitungsabfluss</t>
  </si>
  <si>
    <t>Abminderungsbeiwert „befestigte Flächen“</t>
  </si>
  <si>
    <t>ha</t>
  </si>
  <si>
    <t>Regenabflussspende nach KOSTRA-Atlas od. lokaler Auswertung mit n = 1</t>
  </si>
  <si>
    <t>l/(s*ha)</t>
  </si>
  <si>
    <t>mittlerer Niedrigwasserabfluss zufließender Gewässerabschnitte im Nachweisraum</t>
  </si>
  <si>
    <t>MNQ'</t>
  </si>
  <si>
    <t>berechnetes Sauerstoffdefizit aus zufließenden Gewässerabschnitten</t>
  </si>
  <si>
    <t>Gewässerabfluss</t>
  </si>
  <si>
    <t>(A.31)</t>
  </si>
  <si>
    <t>Einleitungsfracht oberstrom gelegener Einleitungen</t>
  </si>
  <si>
    <t>hydraulischer Nachweis</t>
  </si>
  <si>
    <t>zulässiger kritischer jährlicher Einleitungsabfluss</t>
  </si>
  <si>
    <t>Gl.(1)</t>
  </si>
  <si>
    <t>Stofflicher Nachweis (Mischrechnung)</t>
  </si>
  <si>
    <t>(A.32)</t>
  </si>
  <si>
    <t>(A.34)</t>
  </si>
  <si>
    <t>Iteration Fließtiefe</t>
  </si>
  <si>
    <t>durchflossene Fläche</t>
  </si>
  <si>
    <t>m²</t>
  </si>
  <si>
    <t>(A.2)</t>
  </si>
  <si>
    <t>Wasserspiegelbreite</t>
  </si>
  <si>
    <t>B</t>
  </si>
  <si>
    <t>(A.3)</t>
  </si>
  <si>
    <t>benetzter Umfang</t>
  </si>
  <si>
    <t>U</t>
  </si>
  <si>
    <t>(A.4)</t>
  </si>
  <si>
    <t>hydraulischer Radius</t>
  </si>
  <si>
    <t>R</t>
  </si>
  <si>
    <t>(A.5)</t>
  </si>
  <si>
    <t>Fließgeschwindigkeit</t>
  </si>
  <si>
    <t>(A.6)</t>
  </si>
  <si>
    <t>Kontrollgröße</t>
  </si>
  <si>
    <t>(A.7)</t>
  </si>
  <si>
    <t>mittlere Fließtiefe</t>
  </si>
  <si>
    <t>(A.8)</t>
  </si>
  <si>
    <t>Sauerstoffhaushalt</t>
  </si>
  <si>
    <r>
      <t>Abschnittslänge (L</t>
    </r>
    <r>
      <rPr>
        <sz val="8"/>
        <color theme="1"/>
        <rFont val="Calibri"/>
        <family val="2"/>
        <scheme val="minor"/>
      </rPr>
      <t>G</t>
    </r>
    <r>
      <rPr>
        <sz val="11"/>
        <color theme="1"/>
        <rFont val="Calibri"/>
        <family val="2"/>
        <scheme val="minor"/>
      </rPr>
      <t xml:space="preserve"> (siehe oben) oder L</t>
    </r>
    <r>
      <rPr>
        <sz val="8"/>
        <color theme="1"/>
        <rFont val="Calibri"/>
        <family val="2"/>
        <scheme val="minor"/>
      </rPr>
      <t>max</t>
    </r>
    <r>
      <rPr>
        <sz val="11"/>
        <color theme="1"/>
        <rFont val="Calibri"/>
        <family val="2"/>
        <scheme val="minor"/>
      </rPr>
      <t>)</t>
    </r>
  </si>
  <si>
    <r>
      <t>L</t>
    </r>
    <r>
      <rPr>
        <sz val="8"/>
        <color theme="1"/>
        <rFont val="Calibri"/>
        <family val="2"/>
        <scheme val="minor"/>
      </rPr>
      <t>G,erm.</t>
    </r>
  </si>
  <si>
    <t>(A.40)</t>
  </si>
  <si>
    <t>Abbaurate der organischen Substanz</t>
  </si>
  <si>
    <t>nach Gammeter</t>
  </si>
  <si>
    <t>1/h</t>
  </si>
  <si>
    <t>Sauerstoff-Sättigungskonzentration</t>
  </si>
  <si>
    <t>(A.46)</t>
  </si>
  <si>
    <t>Anfangssauerstoff-Defizit</t>
  </si>
  <si>
    <t>(A.47)</t>
  </si>
  <si>
    <t>kritische Fließzeit</t>
  </si>
  <si>
    <t>Bedingung!</t>
  </si>
  <si>
    <t>(A.37)</t>
  </si>
  <si>
    <t>Fließzeit im Gewässerabschnitt</t>
  </si>
  <si>
    <t>(A.41)</t>
  </si>
  <si>
    <t>kritisches maximales Sauerstoffdefizit</t>
  </si>
  <si>
    <t>(A.36)</t>
  </si>
  <si>
    <t>physikalische Wiederbelüftungsrate</t>
  </si>
  <si>
    <t>(A.43)</t>
  </si>
  <si>
    <t>minimaler Sauerstoffgehalt</t>
  </si>
  <si>
    <t>(A.42)</t>
  </si>
  <si>
    <t>Säurekonstante</t>
  </si>
  <si>
    <t>(A.50)</t>
  </si>
  <si>
    <t>gelöste Karbonate im Gewässer nach Einleitung</t>
  </si>
  <si>
    <t>(A.49)</t>
  </si>
  <si>
    <t>pH-Wert Gewässer</t>
  </si>
  <si>
    <t>Berechnung nach JORDAN</t>
  </si>
  <si>
    <t>(A.51)</t>
  </si>
  <si>
    <t>(A.52)</t>
  </si>
  <si>
    <t>(A.53)</t>
  </si>
  <si>
    <t>Gewässerhydraulik</t>
  </si>
  <si>
    <t>Iteration</t>
  </si>
  <si>
    <t>y = a * x^b</t>
  </si>
  <si>
    <t>a =</t>
  </si>
  <si>
    <t>b =</t>
  </si>
  <si>
    <t>Sauerstoffdefizit des Einleitungsabflusses bei 20°C</t>
  </si>
  <si>
    <t>Fließtiefe bei MNQ</t>
  </si>
  <si>
    <r>
      <t>A</t>
    </r>
    <r>
      <rPr>
        <sz val="8"/>
        <color theme="1"/>
        <rFont val="Calibri"/>
        <family val="2"/>
        <scheme val="minor"/>
      </rPr>
      <t>E0</t>
    </r>
  </si>
  <si>
    <r>
      <t>H</t>
    </r>
    <r>
      <rPr>
        <sz val="8"/>
        <color theme="1"/>
        <rFont val="Calibri"/>
        <family val="2"/>
        <scheme val="minor"/>
      </rPr>
      <t>q1,pnat</t>
    </r>
  </si>
  <si>
    <r>
      <t>H</t>
    </r>
    <r>
      <rPr>
        <sz val="8"/>
        <color theme="0" tint="-0.499984740745262"/>
        <rFont val="Calibri"/>
        <family val="2"/>
        <scheme val="minor"/>
      </rPr>
      <t>q2,pnat</t>
    </r>
  </si>
  <si>
    <r>
      <t>L</t>
    </r>
    <r>
      <rPr>
        <sz val="8"/>
        <color theme="1"/>
        <rFont val="Calibri"/>
        <family val="2"/>
        <scheme val="minor"/>
      </rPr>
      <t>G</t>
    </r>
  </si>
  <si>
    <r>
      <t>L</t>
    </r>
    <r>
      <rPr>
        <sz val="8"/>
        <color theme="1"/>
        <rFont val="Calibri"/>
        <family val="2"/>
        <scheme val="minor"/>
      </rPr>
      <t>max</t>
    </r>
  </si>
  <si>
    <r>
      <t>D</t>
    </r>
    <r>
      <rPr>
        <sz val="8"/>
        <color theme="1"/>
        <rFont val="Calibri"/>
        <family val="2"/>
        <scheme val="minor"/>
      </rPr>
      <t>V</t>
    </r>
  </si>
  <si>
    <r>
      <t>B</t>
    </r>
    <r>
      <rPr>
        <sz val="8"/>
        <color theme="1"/>
        <rFont val="Calibri"/>
        <family val="2"/>
        <scheme val="minor"/>
      </rPr>
      <t>V</t>
    </r>
    <r>
      <rPr>
        <sz val="11"/>
        <color theme="1"/>
        <rFont val="Calibri"/>
        <family val="2"/>
        <scheme val="minor"/>
      </rPr>
      <t xml:space="preserve"> = MNQ * C</t>
    </r>
    <r>
      <rPr>
        <sz val="8"/>
        <color theme="1"/>
        <rFont val="Calibri"/>
        <family val="2"/>
        <scheme val="minor"/>
      </rPr>
      <t>V</t>
    </r>
  </si>
  <si>
    <r>
      <t>pH</t>
    </r>
    <r>
      <rPr>
        <sz val="8"/>
        <color theme="1"/>
        <rFont val="Calibri"/>
        <family val="2"/>
        <scheme val="minor"/>
      </rPr>
      <t>E</t>
    </r>
  </si>
  <si>
    <r>
      <t>ALK</t>
    </r>
    <r>
      <rPr>
        <sz val="8"/>
        <color theme="1"/>
        <rFont val="Calibri"/>
        <family val="2"/>
        <scheme val="minor"/>
      </rPr>
      <t>E</t>
    </r>
  </si>
  <si>
    <r>
      <t>pH</t>
    </r>
    <r>
      <rPr>
        <sz val="8"/>
        <color theme="1"/>
        <rFont val="Calibri"/>
        <family val="2"/>
        <scheme val="minor"/>
      </rPr>
      <t>V</t>
    </r>
  </si>
  <si>
    <r>
      <t>ALK</t>
    </r>
    <r>
      <rPr>
        <sz val="8"/>
        <color theme="1"/>
        <rFont val="Calibri"/>
        <family val="2"/>
        <scheme val="minor"/>
      </rPr>
      <t>V</t>
    </r>
  </si>
  <si>
    <r>
      <t>f</t>
    </r>
    <r>
      <rPr>
        <sz val="8"/>
        <color theme="1"/>
        <rFont val="Calibri"/>
        <family val="2"/>
        <scheme val="minor"/>
      </rPr>
      <t>D</t>
    </r>
  </si>
  <si>
    <r>
      <t>A</t>
    </r>
    <r>
      <rPr>
        <sz val="8"/>
        <color theme="1"/>
        <rFont val="Calibri"/>
        <family val="2"/>
        <scheme val="minor"/>
      </rPr>
      <t>b,a</t>
    </r>
  </si>
  <si>
    <r>
      <t>D</t>
    </r>
    <r>
      <rPr>
        <sz val="8"/>
        <color theme="1"/>
        <rFont val="Calibri"/>
        <family val="2"/>
        <scheme val="minor"/>
      </rPr>
      <t>E</t>
    </r>
  </si>
  <si>
    <r>
      <t>r</t>
    </r>
    <r>
      <rPr>
        <sz val="8"/>
        <color theme="1"/>
        <rFont val="Calibri"/>
        <family val="2"/>
        <scheme val="minor"/>
      </rPr>
      <t>t,f</t>
    </r>
  </si>
  <si>
    <r>
      <t>B</t>
    </r>
    <r>
      <rPr>
        <sz val="8"/>
        <color theme="1"/>
        <rFont val="Calibri"/>
        <family val="2"/>
        <scheme val="minor"/>
      </rPr>
      <t>E</t>
    </r>
    <r>
      <rPr>
        <sz val="11"/>
        <color theme="1"/>
        <rFont val="Calibri"/>
        <family val="2"/>
        <scheme val="minor"/>
      </rPr>
      <t xml:space="preserve"> (BSB5)</t>
    </r>
  </si>
  <si>
    <t>Regenabflussspende</t>
  </si>
  <si>
    <r>
      <t>q</t>
    </r>
    <r>
      <rPr>
        <sz val="8"/>
        <color theme="1"/>
        <rFont val="Calibri"/>
        <family val="2"/>
        <scheme val="minor"/>
      </rPr>
      <t xml:space="preserve">r </t>
    </r>
  </si>
  <si>
    <r>
      <t>Q</t>
    </r>
    <r>
      <rPr>
        <sz val="8"/>
        <color theme="1"/>
        <rFont val="Calibri"/>
        <family val="2"/>
        <scheme val="minor"/>
      </rPr>
      <t>G</t>
    </r>
  </si>
  <si>
    <r>
      <t>Q</t>
    </r>
    <r>
      <rPr>
        <sz val="8"/>
        <color theme="1"/>
        <rFont val="Calibri"/>
        <family val="2"/>
        <scheme val="minor"/>
      </rPr>
      <t>E,st</t>
    </r>
  </si>
  <si>
    <r>
      <t>v</t>
    </r>
    <r>
      <rPr>
        <sz val="8"/>
        <color theme="1"/>
        <rFont val="Calibri"/>
        <family val="2"/>
        <scheme val="minor"/>
      </rPr>
      <t>G</t>
    </r>
  </si>
  <si>
    <r>
      <t>h</t>
    </r>
    <r>
      <rPr>
        <sz val="8"/>
        <color theme="1"/>
        <rFont val="Calibri"/>
        <family val="2"/>
        <scheme val="minor"/>
      </rPr>
      <t>m</t>
    </r>
  </si>
  <si>
    <t>zufließende Gewässerabschnitte im Nachweisraum</t>
  </si>
  <si>
    <t>berechnete Abflüsse zufließender Gewässerabschnitte im Nachweisraum</t>
  </si>
  <si>
    <t>Tabelle A.1</t>
  </si>
  <si>
    <t>aus Gewässerbegehung</t>
  </si>
  <si>
    <t>abgeschätzte Fließzeit im Gewässer bei Einleitung</t>
  </si>
  <si>
    <r>
      <t>t</t>
    </r>
    <r>
      <rPr>
        <sz val="8"/>
        <color theme="1"/>
        <rFont val="Calibri"/>
        <family val="2"/>
        <scheme val="minor"/>
      </rPr>
      <t>f,G</t>
    </r>
  </si>
  <si>
    <t>min</t>
  </si>
  <si>
    <r>
      <t>t</t>
    </r>
    <r>
      <rPr>
        <sz val="8"/>
        <color theme="1"/>
        <rFont val="Calibri"/>
        <family val="2"/>
        <scheme val="minor"/>
      </rPr>
      <t>f,G</t>
    </r>
    <r>
      <rPr>
        <sz val="11"/>
        <color theme="1"/>
        <rFont val="Calibri"/>
        <family val="2"/>
        <scheme val="minor"/>
      </rPr>
      <t xml:space="preserve"> = L</t>
    </r>
    <r>
      <rPr>
        <sz val="8"/>
        <color theme="1"/>
        <rFont val="Calibri"/>
        <family val="2"/>
        <scheme val="minor"/>
      </rPr>
      <t>G,erm.</t>
    </r>
    <r>
      <rPr>
        <sz val="11"/>
        <color theme="1"/>
        <rFont val="Calibri"/>
        <family val="2"/>
        <scheme val="minor"/>
      </rPr>
      <t xml:space="preserve"> / v</t>
    </r>
    <r>
      <rPr>
        <sz val="8"/>
        <color theme="1"/>
        <rFont val="Calibri"/>
        <family val="2"/>
        <scheme val="minor"/>
      </rPr>
      <t>G</t>
    </r>
  </si>
  <si>
    <r>
      <t>k</t>
    </r>
    <r>
      <rPr>
        <sz val="8"/>
        <color theme="1"/>
        <rFont val="Calibri"/>
        <family val="2"/>
        <scheme val="minor"/>
      </rPr>
      <t>1</t>
    </r>
  </si>
  <si>
    <r>
      <t>C</t>
    </r>
    <r>
      <rPr>
        <sz val="8"/>
        <color theme="1"/>
        <rFont val="Calibri"/>
        <family val="2"/>
        <scheme val="minor"/>
      </rPr>
      <t>Sätt,O2</t>
    </r>
  </si>
  <si>
    <r>
      <t>h</t>
    </r>
    <r>
      <rPr>
        <sz val="8"/>
        <color theme="1"/>
        <rFont val="Calibri"/>
        <family val="2"/>
        <scheme val="minor"/>
      </rPr>
      <t>korr</t>
    </r>
  </si>
  <si>
    <r>
      <t>C</t>
    </r>
    <r>
      <rPr>
        <sz val="8"/>
        <color theme="1"/>
        <rFont val="Calibri"/>
        <family val="2"/>
        <scheme val="minor"/>
      </rPr>
      <t>G</t>
    </r>
  </si>
  <si>
    <r>
      <t>D</t>
    </r>
    <r>
      <rPr>
        <sz val="8"/>
        <color theme="1"/>
        <rFont val="Calibri"/>
        <family val="2"/>
        <scheme val="minor"/>
      </rPr>
      <t>0,O2</t>
    </r>
  </si>
  <si>
    <r>
      <t>t</t>
    </r>
    <r>
      <rPr>
        <sz val="8"/>
        <color theme="1"/>
        <rFont val="Calibri"/>
        <family val="2"/>
        <scheme val="minor"/>
      </rPr>
      <t>G,krit</t>
    </r>
  </si>
  <si>
    <r>
      <t>t</t>
    </r>
    <r>
      <rPr>
        <sz val="8"/>
        <color theme="1"/>
        <rFont val="Calibri"/>
        <family val="2"/>
        <scheme val="minor"/>
      </rPr>
      <t>G</t>
    </r>
  </si>
  <si>
    <r>
      <t>D</t>
    </r>
    <r>
      <rPr>
        <sz val="8"/>
        <color theme="1"/>
        <rFont val="Calibri"/>
        <family val="2"/>
        <scheme val="minor"/>
      </rPr>
      <t>krit</t>
    </r>
  </si>
  <si>
    <r>
      <t>C</t>
    </r>
    <r>
      <rPr>
        <sz val="8"/>
        <color theme="1"/>
        <rFont val="Calibri"/>
        <family val="2"/>
        <scheme val="minor"/>
      </rPr>
      <t>min,O2</t>
    </r>
  </si>
  <si>
    <r>
      <t>pH</t>
    </r>
    <r>
      <rPr>
        <sz val="8"/>
        <color theme="1"/>
        <rFont val="Calibri"/>
        <family val="2"/>
        <scheme val="minor"/>
      </rPr>
      <t>G</t>
    </r>
  </si>
  <si>
    <r>
      <t>ALK</t>
    </r>
    <r>
      <rPr>
        <sz val="8"/>
        <color theme="1"/>
        <rFont val="Calibri"/>
        <family val="2"/>
        <scheme val="minor"/>
      </rPr>
      <t>G</t>
    </r>
  </si>
  <si>
    <r>
      <t>pK</t>
    </r>
    <r>
      <rPr>
        <sz val="8"/>
        <color theme="1"/>
        <rFont val="Calibri"/>
        <family val="2"/>
        <scheme val="minor"/>
      </rPr>
      <t>s</t>
    </r>
  </si>
  <si>
    <t>pH-Wert (Vorbelastung)</t>
  </si>
  <si>
    <t>Alkalinität (Vorbelastung)</t>
  </si>
  <si>
    <t xml:space="preserve">Standardvorgabe: ? </t>
  </si>
  <si>
    <r>
      <t>Q</t>
    </r>
    <r>
      <rPr>
        <sz val="8"/>
        <color theme="1"/>
        <rFont val="Calibri"/>
        <family val="2"/>
        <scheme val="minor"/>
      </rPr>
      <t>E,st</t>
    </r>
    <r>
      <rPr>
        <sz val="11"/>
        <color theme="1"/>
        <rFont val="Calibri"/>
        <family val="2"/>
        <scheme val="minor"/>
      </rPr>
      <t>'</t>
    </r>
  </si>
  <si>
    <r>
      <t>C</t>
    </r>
    <r>
      <rPr>
        <sz val="8"/>
        <color theme="1"/>
        <rFont val="Calibri"/>
        <family val="2"/>
        <scheme val="minor"/>
      </rPr>
      <t>E</t>
    </r>
    <r>
      <rPr>
        <sz val="11"/>
        <color theme="1"/>
        <rFont val="Calibri"/>
        <family val="2"/>
        <scheme val="minor"/>
      </rPr>
      <t xml:space="preserve"> (NH</t>
    </r>
    <r>
      <rPr>
        <sz val="8"/>
        <color theme="1"/>
        <rFont val="Calibri"/>
        <family val="2"/>
        <scheme val="minor"/>
      </rPr>
      <t>4</t>
    </r>
    <r>
      <rPr>
        <sz val="11"/>
        <color theme="1"/>
        <rFont val="Calibri"/>
        <family val="2"/>
        <scheme val="minor"/>
      </rPr>
      <t>-N)</t>
    </r>
  </si>
  <si>
    <r>
      <t>C</t>
    </r>
    <r>
      <rPr>
        <sz val="8"/>
        <color theme="1"/>
        <rFont val="Calibri"/>
        <family val="2"/>
        <scheme val="minor"/>
      </rPr>
      <t>E</t>
    </r>
    <r>
      <rPr>
        <sz val="11"/>
        <color theme="1"/>
        <rFont val="Calibri"/>
        <family val="2"/>
        <scheme val="minor"/>
      </rPr>
      <t xml:space="preserve"> (BSB</t>
    </r>
    <r>
      <rPr>
        <sz val="8"/>
        <color theme="1"/>
        <rFont val="Calibri"/>
        <family val="2"/>
        <scheme val="minor"/>
      </rPr>
      <t>5</t>
    </r>
    <r>
      <rPr>
        <sz val="11"/>
        <color theme="1"/>
        <rFont val="Calibri"/>
        <family val="2"/>
        <scheme val="minor"/>
      </rPr>
      <t>)</t>
    </r>
  </si>
  <si>
    <r>
      <t>C</t>
    </r>
    <r>
      <rPr>
        <sz val="8"/>
        <color theme="1"/>
        <rFont val="Calibri"/>
        <family val="2"/>
        <scheme val="minor"/>
      </rPr>
      <t>V</t>
    </r>
    <r>
      <rPr>
        <sz val="11"/>
        <color theme="1"/>
        <rFont val="Calibri"/>
        <family val="2"/>
        <scheme val="minor"/>
      </rPr>
      <t xml:space="preserve"> (BSB</t>
    </r>
    <r>
      <rPr>
        <sz val="8"/>
        <color theme="1"/>
        <rFont val="Calibri"/>
        <family val="2"/>
        <scheme val="minor"/>
      </rPr>
      <t>5</t>
    </r>
    <r>
      <rPr>
        <sz val="11"/>
        <color theme="1"/>
        <rFont val="Calibri"/>
        <family val="2"/>
        <scheme val="minor"/>
      </rPr>
      <t>)</t>
    </r>
  </si>
  <si>
    <r>
      <t>C</t>
    </r>
    <r>
      <rPr>
        <sz val="8"/>
        <color theme="1"/>
        <rFont val="Calibri"/>
        <family val="2"/>
        <scheme val="minor"/>
      </rPr>
      <t>V</t>
    </r>
    <r>
      <rPr>
        <sz val="11"/>
        <color theme="1"/>
        <rFont val="Calibri"/>
        <family val="2"/>
        <scheme val="minor"/>
      </rPr>
      <t xml:space="preserve"> (NH</t>
    </r>
    <r>
      <rPr>
        <sz val="8"/>
        <color theme="1"/>
        <rFont val="Calibri"/>
        <family val="2"/>
        <scheme val="minor"/>
      </rPr>
      <t>4</t>
    </r>
    <r>
      <rPr>
        <sz val="11"/>
        <color theme="1"/>
        <rFont val="Calibri"/>
        <family val="2"/>
        <scheme val="minor"/>
      </rPr>
      <t>-N)</t>
    </r>
  </si>
  <si>
    <r>
      <t>B</t>
    </r>
    <r>
      <rPr>
        <sz val="8"/>
        <color theme="1"/>
        <rFont val="Calibri"/>
        <family val="2"/>
        <scheme val="minor"/>
      </rPr>
      <t>V</t>
    </r>
    <r>
      <rPr>
        <sz val="11"/>
        <color theme="1"/>
        <rFont val="Calibri"/>
        <family val="2"/>
        <scheme val="minor"/>
      </rPr>
      <t xml:space="preserve"> (NH</t>
    </r>
    <r>
      <rPr>
        <sz val="8"/>
        <color theme="1"/>
        <rFont val="Calibri"/>
        <family val="2"/>
        <scheme val="minor"/>
      </rPr>
      <t>4</t>
    </r>
    <r>
      <rPr>
        <sz val="11"/>
        <color theme="1"/>
        <rFont val="Calibri"/>
        <family val="2"/>
        <scheme val="minor"/>
      </rPr>
      <t>-N)</t>
    </r>
  </si>
  <si>
    <r>
      <t>B</t>
    </r>
    <r>
      <rPr>
        <sz val="8"/>
        <color theme="1"/>
        <rFont val="Calibri"/>
        <family val="2"/>
        <scheme val="minor"/>
      </rPr>
      <t>E</t>
    </r>
    <r>
      <rPr>
        <sz val="11"/>
        <color theme="1"/>
        <rFont val="Calibri"/>
        <family val="2"/>
        <scheme val="minor"/>
      </rPr>
      <t>' (BSB</t>
    </r>
    <r>
      <rPr>
        <sz val="8"/>
        <color theme="1"/>
        <rFont val="Calibri"/>
        <family val="2"/>
        <scheme val="minor"/>
      </rPr>
      <t>5</t>
    </r>
    <r>
      <rPr>
        <sz val="11"/>
        <color theme="1"/>
        <rFont val="Calibri"/>
        <family val="2"/>
        <scheme val="minor"/>
      </rPr>
      <t>)</t>
    </r>
  </si>
  <si>
    <r>
      <t>B</t>
    </r>
    <r>
      <rPr>
        <sz val="8"/>
        <color theme="1"/>
        <rFont val="Calibri"/>
        <family val="2"/>
        <scheme val="minor"/>
      </rPr>
      <t>E</t>
    </r>
    <r>
      <rPr>
        <sz val="11"/>
        <color theme="1"/>
        <rFont val="Calibri"/>
        <family val="2"/>
        <scheme val="minor"/>
      </rPr>
      <t>' (NH</t>
    </r>
    <r>
      <rPr>
        <sz val="8"/>
        <color theme="1"/>
        <rFont val="Calibri"/>
        <family val="2"/>
        <scheme val="minor"/>
      </rPr>
      <t>4</t>
    </r>
    <r>
      <rPr>
        <sz val="11"/>
        <color theme="1"/>
        <rFont val="Calibri"/>
        <family val="2"/>
        <scheme val="minor"/>
      </rPr>
      <t>-N)</t>
    </r>
  </si>
  <si>
    <r>
      <t>B</t>
    </r>
    <r>
      <rPr>
        <sz val="8"/>
        <color theme="1"/>
        <rFont val="Calibri"/>
        <family val="2"/>
        <scheme val="minor"/>
      </rPr>
      <t>E</t>
    </r>
    <r>
      <rPr>
        <sz val="11"/>
        <color theme="1"/>
        <rFont val="Calibri"/>
        <family val="2"/>
        <scheme val="minor"/>
      </rPr>
      <t xml:space="preserve"> (NH</t>
    </r>
    <r>
      <rPr>
        <sz val="8"/>
        <color theme="1"/>
        <rFont val="Calibri"/>
        <family val="2"/>
        <scheme val="minor"/>
      </rPr>
      <t>4</t>
    </r>
    <r>
      <rPr>
        <sz val="11"/>
        <color theme="1"/>
        <rFont val="Calibri"/>
        <family val="2"/>
        <scheme val="minor"/>
      </rPr>
      <t>-N)</t>
    </r>
  </si>
  <si>
    <r>
      <t>D</t>
    </r>
    <r>
      <rPr>
        <sz val="8"/>
        <color theme="1"/>
        <rFont val="Calibri"/>
        <family val="2"/>
        <scheme val="minor"/>
      </rPr>
      <t>G,O2</t>
    </r>
    <r>
      <rPr>
        <sz val="11"/>
        <color theme="1"/>
        <rFont val="Calibri"/>
        <family val="2"/>
        <scheme val="minor"/>
      </rPr>
      <t>'</t>
    </r>
  </si>
  <si>
    <r>
      <t>C</t>
    </r>
    <r>
      <rPr>
        <sz val="8"/>
        <color theme="1"/>
        <rFont val="Calibri"/>
        <family val="2"/>
        <scheme val="minor"/>
      </rPr>
      <t>G</t>
    </r>
    <r>
      <rPr>
        <sz val="11"/>
        <color theme="1"/>
        <rFont val="Calibri"/>
        <family val="2"/>
        <scheme val="minor"/>
      </rPr>
      <t>'</t>
    </r>
  </si>
  <si>
    <r>
      <t>Q</t>
    </r>
    <r>
      <rPr>
        <sz val="8"/>
        <color theme="1"/>
        <rFont val="Calibri"/>
        <family val="2"/>
        <scheme val="minor"/>
      </rPr>
      <t>G</t>
    </r>
    <r>
      <rPr>
        <sz val="11"/>
        <color theme="1"/>
        <rFont val="Calibri"/>
        <family val="2"/>
        <scheme val="minor"/>
      </rPr>
      <t>'</t>
    </r>
  </si>
  <si>
    <r>
      <t>B</t>
    </r>
    <r>
      <rPr>
        <sz val="8"/>
        <color theme="1"/>
        <rFont val="Calibri"/>
        <family val="2"/>
        <scheme val="minor"/>
      </rPr>
      <t>G</t>
    </r>
    <r>
      <rPr>
        <sz val="11"/>
        <color theme="1"/>
        <rFont val="Calibri"/>
        <family val="2"/>
        <scheme val="minor"/>
      </rPr>
      <t xml:space="preserve"> (NH</t>
    </r>
    <r>
      <rPr>
        <sz val="8"/>
        <color theme="1"/>
        <rFont val="Calibri"/>
        <family val="2"/>
        <scheme val="minor"/>
      </rPr>
      <t>4</t>
    </r>
    <r>
      <rPr>
        <sz val="11"/>
        <color theme="1"/>
        <rFont val="Calibri"/>
        <family val="2"/>
        <scheme val="minor"/>
      </rPr>
      <t>-N)</t>
    </r>
  </si>
  <si>
    <r>
      <t>C</t>
    </r>
    <r>
      <rPr>
        <sz val="8"/>
        <color theme="1"/>
        <rFont val="Calibri"/>
        <family val="2"/>
        <scheme val="minor"/>
      </rPr>
      <t>G</t>
    </r>
    <r>
      <rPr>
        <sz val="11"/>
        <color theme="1"/>
        <rFont val="Calibri"/>
        <family val="2"/>
        <scheme val="minor"/>
      </rPr>
      <t xml:space="preserve"> (NH</t>
    </r>
    <r>
      <rPr>
        <sz val="8"/>
        <color theme="1"/>
        <rFont val="Calibri"/>
        <family val="2"/>
        <scheme val="minor"/>
      </rPr>
      <t>4</t>
    </r>
    <r>
      <rPr>
        <sz val="11"/>
        <color theme="1"/>
        <rFont val="Calibri"/>
        <family val="2"/>
        <scheme val="minor"/>
      </rPr>
      <t>-N)</t>
    </r>
  </si>
  <si>
    <r>
      <t>C</t>
    </r>
    <r>
      <rPr>
        <sz val="8"/>
        <color theme="1"/>
        <rFont val="Calibri"/>
        <family val="2"/>
        <scheme val="minor"/>
      </rPr>
      <t>G</t>
    </r>
    <r>
      <rPr>
        <sz val="11"/>
        <color theme="1"/>
        <rFont val="Calibri"/>
        <family val="2"/>
        <scheme val="minor"/>
      </rPr>
      <t xml:space="preserve"> (NH</t>
    </r>
    <r>
      <rPr>
        <sz val="8"/>
        <color theme="1"/>
        <rFont val="Calibri"/>
        <family val="2"/>
        <scheme val="minor"/>
      </rPr>
      <t>3</t>
    </r>
    <r>
      <rPr>
        <sz val="11"/>
        <color theme="1"/>
        <rFont val="Calibri"/>
        <family val="2"/>
        <scheme val="minor"/>
      </rPr>
      <t>-N)</t>
    </r>
  </si>
  <si>
    <t>Ckrit,O2</t>
  </si>
  <si>
    <t>Ckrit,NH3-N</t>
  </si>
  <si>
    <r>
      <t>B</t>
    </r>
    <r>
      <rPr>
        <sz val="8"/>
        <color theme="1"/>
        <rFont val="Calibri"/>
        <family val="2"/>
        <scheme val="minor"/>
      </rPr>
      <t>V</t>
    </r>
    <r>
      <rPr>
        <sz val="11"/>
        <color theme="1"/>
        <rFont val="Calibri"/>
        <family val="2"/>
        <scheme val="minor"/>
      </rPr>
      <t xml:space="preserve"> (BSB</t>
    </r>
    <r>
      <rPr>
        <sz val="8"/>
        <color theme="1"/>
        <rFont val="Calibri"/>
        <family val="2"/>
        <scheme val="minor"/>
      </rPr>
      <t>5</t>
    </r>
    <r>
      <rPr>
        <sz val="11"/>
        <color theme="1"/>
        <rFont val="Calibri"/>
        <family val="2"/>
        <scheme val="minor"/>
      </rPr>
      <t>)</t>
    </r>
  </si>
  <si>
    <r>
      <t>q</t>
    </r>
    <r>
      <rPr>
        <sz val="8"/>
        <color theme="1"/>
        <rFont val="Calibri"/>
        <family val="2"/>
        <scheme val="minor"/>
      </rPr>
      <t>r</t>
    </r>
    <r>
      <rPr>
        <sz val="11"/>
        <color theme="1"/>
        <rFont val="Calibri"/>
        <family val="2"/>
        <scheme val="minor"/>
      </rPr>
      <t>'</t>
    </r>
  </si>
  <si>
    <r>
      <t>Q</t>
    </r>
    <r>
      <rPr>
        <sz val="8"/>
        <color theme="1"/>
        <rFont val="Calibri"/>
        <family val="2"/>
        <scheme val="minor"/>
      </rPr>
      <t>G</t>
    </r>
    <r>
      <rPr>
        <sz val="11"/>
        <color theme="1"/>
        <rFont val="Calibri"/>
        <family val="2"/>
        <scheme val="minor"/>
      </rPr>
      <t xml:space="preserve"> = MNQ + Q</t>
    </r>
    <r>
      <rPr>
        <sz val="8"/>
        <color theme="1"/>
        <rFont val="Calibri"/>
        <family val="2"/>
        <scheme val="minor"/>
      </rPr>
      <t>E,st</t>
    </r>
    <r>
      <rPr>
        <sz val="11"/>
        <color theme="1"/>
        <rFont val="Calibri"/>
        <family val="2"/>
        <scheme val="minor"/>
      </rPr>
      <t xml:space="preserve"> + Q</t>
    </r>
    <r>
      <rPr>
        <sz val="8"/>
        <color theme="1"/>
        <rFont val="Calibri"/>
        <family val="2"/>
        <scheme val="minor"/>
      </rPr>
      <t>E</t>
    </r>
    <r>
      <rPr>
        <sz val="11"/>
        <color theme="1"/>
        <rFont val="Calibri"/>
        <family val="2"/>
        <scheme val="minor"/>
      </rPr>
      <t>'</t>
    </r>
  </si>
  <si>
    <r>
      <t>v</t>
    </r>
    <r>
      <rPr>
        <sz val="8"/>
        <color theme="1"/>
        <rFont val="Calibri"/>
        <family val="2"/>
        <scheme val="minor"/>
      </rPr>
      <t>G</t>
    </r>
    <r>
      <rPr>
        <sz val="11"/>
        <color theme="1"/>
        <rFont val="Calibri"/>
        <family val="2"/>
        <scheme val="minor"/>
      </rPr>
      <t xml:space="preserve"> = k</t>
    </r>
    <r>
      <rPr>
        <sz val="8"/>
        <color theme="1"/>
        <rFont val="Calibri"/>
        <family val="2"/>
        <scheme val="minor"/>
      </rPr>
      <t>st</t>
    </r>
    <r>
      <rPr>
        <sz val="11"/>
        <color theme="1"/>
        <rFont val="Calibri"/>
        <family val="2"/>
        <scheme val="minor"/>
      </rPr>
      <t xml:space="preserve"> * I</t>
    </r>
    <r>
      <rPr>
        <sz val="8"/>
        <color theme="1"/>
        <rFont val="Calibri"/>
        <family val="2"/>
        <scheme val="minor"/>
      </rPr>
      <t>s</t>
    </r>
    <r>
      <rPr>
        <sz val="11"/>
        <color theme="1"/>
        <rFont val="Calibri"/>
        <family val="2"/>
        <scheme val="minor"/>
      </rPr>
      <t>^(1/2) * R^(2/3)</t>
    </r>
  </si>
  <si>
    <r>
      <t>h</t>
    </r>
    <r>
      <rPr>
        <sz val="8"/>
        <color theme="1"/>
        <rFont val="Calibri"/>
        <family val="2"/>
        <scheme val="minor"/>
      </rPr>
      <t>m</t>
    </r>
    <r>
      <rPr>
        <sz val="11"/>
        <color theme="1"/>
        <rFont val="Calibri"/>
        <family val="2"/>
        <scheme val="minor"/>
      </rPr>
      <t xml:space="preserve"> = A</t>
    </r>
    <r>
      <rPr>
        <sz val="8"/>
        <color theme="1"/>
        <rFont val="Calibri"/>
        <family val="2"/>
        <scheme val="minor"/>
      </rPr>
      <t>G</t>
    </r>
    <r>
      <rPr>
        <sz val="11"/>
        <color theme="1"/>
        <rFont val="Calibri"/>
        <family val="2"/>
        <scheme val="minor"/>
      </rPr>
      <t xml:space="preserve"> / B</t>
    </r>
  </si>
  <si>
    <t xml:space="preserve">Fließgeschwindigkeit </t>
  </si>
  <si>
    <r>
      <t>C</t>
    </r>
    <r>
      <rPr>
        <sz val="8"/>
        <color theme="1"/>
        <rFont val="Calibri"/>
        <family val="2"/>
        <scheme val="minor"/>
      </rPr>
      <t>min,O2</t>
    </r>
    <r>
      <rPr>
        <sz val="11"/>
        <color theme="1"/>
        <rFont val="Calibri"/>
        <family val="2"/>
        <scheme val="minor"/>
      </rPr>
      <t xml:space="preserve"> = C</t>
    </r>
    <r>
      <rPr>
        <sz val="8"/>
        <color theme="1"/>
        <rFont val="Calibri"/>
        <family val="2"/>
        <scheme val="minor"/>
      </rPr>
      <t>Sätt,O2</t>
    </r>
    <r>
      <rPr>
        <sz val="11"/>
        <color theme="1"/>
        <rFont val="Calibri"/>
        <family val="2"/>
        <scheme val="minor"/>
      </rPr>
      <t xml:space="preserve"> - D</t>
    </r>
    <r>
      <rPr>
        <sz val="8"/>
        <color theme="1"/>
        <rFont val="Calibri"/>
        <family val="2"/>
        <scheme val="minor"/>
      </rPr>
      <t>krit</t>
    </r>
  </si>
  <si>
    <r>
      <t>C</t>
    </r>
    <r>
      <rPr>
        <sz val="8"/>
        <color theme="1"/>
        <rFont val="Calibri"/>
        <family val="2"/>
        <scheme val="minor"/>
      </rPr>
      <t>G</t>
    </r>
    <r>
      <rPr>
        <sz val="11"/>
        <color theme="1"/>
        <rFont val="Calibri"/>
        <family val="2"/>
        <scheme val="minor"/>
      </rPr>
      <t xml:space="preserve"> = B</t>
    </r>
    <r>
      <rPr>
        <sz val="8"/>
        <color theme="1"/>
        <rFont val="Calibri"/>
        <family val="2"/>
        <scheme val="minor"/>
      </rPr>
      <t>G</t>
    </r>
    <r>
      <rPr>
        <sz val="11"/>
        <color theme="1"/>
        <rFont val="Calibri"/>
        <family val="2"/>
        <scheme val="minor"/>
      </rPr>
      <t>/Q</t>
    </r>
    <r>
      <rPr>
        <sz val="8"/>
        <color theme="1"/>
        <rFont val="Calibri"/>
        <family val="2"/>
        <scheme val="minor"/>
      </rPr>
      <t>G</t>
    </r>
  </si>
  <si>
    <r>
      <t>NH</t>
    </r>
    <r>
      <rPr>
        <sz val="8"/>
        <color theme="1"/>
        <rFont val="Calibri"/>
        <family val="2"/>
        <scheme val="minor"/>
      </rPr>
      <t>3</t>
    </r>
    <r>
      <rPr>
        <sz val="11"/>
        <color theme="1"/>
        <rFont val="Calibri"/>
        <family val="2"/>
        <scheme val="minor"/>
      </rPr>
      <t>-N nach Emerson et al.</t>
    </r>
  </si>
  <si>
    <r>
      <t>C</t>
    </r>
    <r>
      <rPr>
        <sz val="8"/>
        <color theme="1"/>
        <rFont val="Calibri"/>
        <family val="2"/>
        <scheme val="minor"/>
      </rPr>
      <t>V,Karb,gel</t>
    </r>
  </si>
  <si>
    <r>
      <t>C</t>
    </r>
    <r>
      <rPr>
        <sz val="8"/>
        <color theme="1"/>
        <rFont val="Calibri"/>
        <family val="2"/>
        <scheme val="minor"/>
      </rPr>
      <t>E,Karb,gel</t>
    </r>
  </si>
  <si>
    <r>
      <t>C</t>
    </r>
    <r>
      <rPr>
        <sz val="8"/>
        <color theme="1"/>
        <rFont val="Calibri"/>
        <family val="2"/>
        <scheme val="minor"/>
      </rPr>
      <t>G,Karb,gel</t>
    </r>
  </si>
  <si>
    <r>
      <t>NH</t>
    </r>
    <r>
      <rPr>
        <sz val="8"/>
        <color theme="1"/>
        <rFont val="Calibri"/>
        <family val="2"/>
        <scheme val="minor"/>
      </rPr>
      <t>4</t>
    </r>
    <r>
      <rPr>
        <sz val="11"/>
        <color theme="1"/>
        <rFont val="Calibri"/>
        <family val="2"/>
        <scheme val="minor"/>
      </rPr>
      <t>-N-Gewässerfracht unterhalb der Einleitung</t>
    </r>
  </si>
  <si>
    <r>
      <t>NH</t>
    </r>
    <r>
      <rPr>
        <sz val="8"/>
        <color theme="1"/>
        <rFont val="Calibri"/>
        <family val="2"/>
        <scheme val="minor"/>
      </rPr>
      <t>4</t>
    </r>
    <r>
      <rPr>
        <sz val="11"/>
        <color theme="1"/>
        <rFont val="Calibri"/>
        <family val="2"/>
        <scheme val="minor"/>
      </rPr>
      <t>-N-Gewässerkonzentration unterhalb der Einleitung</t>
    </r>
  </si>
  <si>
    <r>
      <t>NH</t>
    </r>
    <r>
      <rPr>
        <sz val="8"/>
        <color theme="1"/>
        <rFont val="Calibri"/>
        <family val="2"/>
        <scheme val="minor"/>
      </rPr>
      <t>3</t>
    </r>
    <r>
      <rPr>
        <sz val="11"/>
        <color theme="1"/>
        <rFont val="Calibri"/>
        <family val="2"/>
        <scheme val="minor"/>
      </rPr>
      <t>-N Konzentration</t>
    </r>
  </si>
  <si>
    <r>
      <t>BSB</t>
    </r>
    <r>
      <rPr>
        <sz val="8"/>
        <color theme="1"/>
        <rFont val="Calibri"/>
        <family val="2"/>
        <scheme val="minor"/>
      </rPr>
      <t>5</t>
    </r>
    <r>
      <rPr>
        <sz val="11"/>
        <color theme="1"/>
        <rFont val="Calibri"/>
        <family val="2"/>
        <scheme val="minor"/>
      </rPr>
      <t>-Gewässerkonz. am Anfang der Berechnungsstrecke</t>
    </r>
  </si>
  <si>
    <r>
      <t>berechnete BSB</t>
    </r>
    <r>
      <rPr>
        <sz val="8"/>
        <color theme="1"/>
        <rFont val="Calibri"/>
        <family val="2"/>
        <scheme val="minor"/>
      </rPr>
      <t>5</t>
    </r>
    <r>
      <rPr>
        <sz val="11"/>
        <color theme="1"/>
        <rFont val="Calibri"/>
        <family val="2"/>
        <scheme val="minor"/>
      </rPr>
      <t>-Konzentration zufließender Gewässerabschnitte</t>
    </r>
  </si>
  <si>
    <r>
      <t>x = H</t>
    </r>
    <r>
      <rPr>
        <sz val="8"/>
        <color theme="1"/>
        <rFont val="Calibri"/>
        <family val="2"/>
        <scheme val="minor"/>
      </rPr>
      <t>q2,pnat</t>
    </r>
    <r>
      <rPr>
        <sz val="11"/>
        <color theme="1"/>
        <rFont val="Calibri"/>
        <family val="2"/>
        <scheme val="minor"/>
      </rPr>
      <t xml:space="preserve"> / H</t>
    </r>
    <r>
      <rPr>
        <sz val="8"/>
        <color theme="1"/>
        <rFont val="Calibri"/>
        <family val="2"/>
        <scheme val="minor"/>
      </rPr>
      <t>q1,pna</t>
    </r>
    <r>
      <rPr>
        <sz val="11"/>
        <color theme="1"/>
        <rFont val="Calibri"/>
        <family val="2"/>
        <scheme val="minor"/>
      </rPr>
      <t>t - 1, Standardvorgabe: 0,1</t>
    </r>
  </si>
  <si>
    <r>
      <t>H</t>
    </r>
    <r>
      <rPr>
        <sz val="8"/>
        <color theme="1"/>
        <rFont val="Calibri"/>
        <family val="2"/>
        <scheme val="minor"/>
      </rPr>
      <t>Q1,pnat</t>
    </r>
  </si>
  <si>
    <r>
      <t>H</t>
    </r>
    <r>
      <rPr>
        <sz val="8"/>
        <color theme="1"/>
        <rFont val="Calibri"/>
        <family val="2"/>
        <scheme val="minor"/>
      </rPr>
      <t>Q1,pnat</t>
    </r>
    <r>
      <rPr>
        <sz val="11"/>
        <color theme="1"/>
        <rFont val="Calibri"/>
        <family val="2"/>
        <scheme val="minor"/>
      </rPr>
      <t xml:space="preserve"> = A</t>
    </r>
    <r>
      <rPr>
        <sz val="8"/>
        <color theme="1"/>
        <rFont val="Calibri"/>
        <family val="2"/>
        <scheme val="minor"/>
      </rPr>
      <t>E0</t>
    </r>
    <r>
      <rPr>
        <sz val="11"/>
        <color theme="1"/>
        <rFont val="Calibri"/>
        <family val="2"/>
        <scheme val="minor"/>
      </rPr>
      <t xml:space="preserve"> * H</t>
    </r>
    <r>
      <rPr>
        <sz val="8"/>
        <color theme="1"/>
        <rFont val="Calibri"/>
        <family val="2"/>
        <scheme val="minor"/>
      </rPr>
      <t>q1</t>
    </r>
  </si>
  <si>
    <t>D</t>
  </si>
  <si>
    <t>Dauerstufe der Regenabflussspende</t>
  </si>
  <si>
    <r>
      <t>k</t>
    </r>
    <r>
      <rPr>
        <sz val="8"/>
        <color theme="1"/>
        <rFont val="Calibri"/>
        <family val="2"/>
        <scheme val="minor"/>
      </rPr>
      <t>st</t>
    </r>
  </si>
  <si>
    <r>
      <t>b</t>
    </r>
    <r>
      <rPr>
        <sz val="8"/>
        <color theme="1"/>
        <rFont val="Calibri"/>
        <family val="2"/>
        <scheme val="minor"/>
      </rPr>
      <t>So</t>
    </r>
  </si>
  <si>
    <r>
      <t>h</t>
    </r>
    <r>
      <rPr>
        <sz val="8"/>
        <color theme="1"/>
        <rFont val="Calibri"/>
        <family val="2"/>
        <scheme val="minor"/>
      </rPr>
      <t>B</t>
    </r>
  </si>
  <si>
    <r>
      <t>b</t>
    </r>
    <r>
      <rPr>
        <sz val="8"/>
        <color theme="1"/>
        <rFont val="Calibri"/>
        <family val="2"/>
        <scheme val="minor"/>
      </rPr>
      <t>voll</t>
    </r>
  </si>
  <si>
    <r>
      <t>n</t>
    </r>
    <r>
      <rPr>
        <sz val="8"/>
        <color theme="1"/>
        <rFont val="Calibri"/>
        <family val="2"/>
        <scheme val="minor"/>
      </rPr>
      <t>B</t>
    </r>
  </si>
  <si>
    <r>
      <t>h</t>
    </r>
    <r>
      <rPr>
        <sz val="8"/>
        <color theme="1"/>
        <rFont val="Calibri"/>
        <family val="2"/>
        <scheme val="minor"/>
      </rPr>
      <t>G</t>
    </r>
    <r>
      <rPr>
        <sz val="11"/>
        <color theme="1"/>
        <rFont val="Calibri"/>
        <family val="2"/>
        <scheme val="minor"/>
      </rPr>
      <t xml:space="preserve"> = MIN(h</t>
    </r>
    <r>
      <rPr>
        <sz val="8"/>
        <color theme="1"/>
        <rFont val="Calibri"/>
        <family val="2"/>
        <scheme val="minor"/>
      </rPr>
      <t>Gi</t>
    </r>
    <r>
      <rPr>
        <sz val="11"/>
        <color theme="1"/>
        <rFont val="Calibri"/>
        <family val="2"/>
        <scheme val="minor"/>
      </rPr>
      <t>, h</t>
    </r>
    <r>
      <rPr>
        <sz val="8"/>
        <color theme="1"/>
        <rFont val="Calibri"/>
        <family val="2"/>
        <scheme val="minor"/>
      </rPr>
      <t>B</t>
    </r>
    <r>
      <rPr>
        <sz val="11"/>
        <color theme="1"/>
        <rFont val="Calibri"/>
        <family val="2"/>
        <scheme val="minor"/>
      </rPr>
      <t>)</t>
    </r>
  </si>
  <si>
    <r>
      <t>A</t>
    </r>
    <r>
      <rPr>
        <sz val="8"/>
        <color theme="1"/>
        <rFont val="Calibri"/>
        <family val="2"/>
        <scheme val="minor"/>
      </rPr>
      <t>G</t>
    </r>
    <r>
      <rPr>
        <sz val="11"/>
        <color theme="1"/>
        <rFont val="Calibri"/>
        <family val="2"/>
        <scheme val="minor"/>
      </rPr>
      <t xml:space="preserve"> = h</t>
    </r>
    <r>
      <rPr>
        <sz val="8"/>
        <color theme="1"/>
        <rFont val="Calibri"/>
        <family val="2"/>
        <scheme val="minor"/>
      </rPr>
      <t>G</t>
    </r>
    <r>
      <rPr>
        <sz val="11"/>
        <color theme="1"/>
        <rFont val="Calibri"/>
        <family val="2"/>
        <scheme val="minor"/>
      </rPr>
      <t xml:space="preserve"> * (b</t>
    </r>
    <r>
      <rPr>
        <sz val="8"/>
        <color theme="1"/>
        <rFont val="Calibri"/>
        <family val="2"/>
        <scheme val="minor"/>
      </rPr>
      <t>So</t>
    </r>
    <r>
      <rPr>
        <sz val="11"/>
        <color theme="1"/>
        <rFont val="Calibri"/>
        <family val="2"/>
        <scheme val="minor"/>
      </rPr>
      <t xml:space="preserve"> + n</t>
    </r>
    <r>
      <rPr>
        <sz val="8"/>
        <color theme="1"/>
        <rFont val="Calibri"/>
        <family val="2"/>
        <scheme val="minor"/>
      </rPr>
      <t>B</t>
    </r>
    <r>
      <rPr>
        <sz val="11"/>
        <color theme="1"/>
        <rFont val="Calibri"/>
        <family val="2"/>
        <scheme val="minor"/>
      </rPr>
      <t xml:space="preserve"> * h</t>
    </r>
    <r>
      <rPr>
        <sz val="8"/>
        <color theme="1"/>
        <rFont val="Calibri"/>
        <family val="2"/>
        <scheme val="minor"/>
      </rPr>
      <t>G</t>
    </r>
    <r>
      <rPr>
        <sz val="11"/>
        <color theme="1"/>
        <rFont val="Calibri"/>
        <family val="2"/>
        <scheme val="minor"/>
      </rPr>
      <t>)</t>
    </r>
  </si>
  <si>
    <r>
      <t>B = b</t>
    </r>
    <r>
      <rPr>
        <sz val="8"/>
        <color theme="1"/>
        <rFont val="Calibri"/>
        <family val="2"/>
        <scheme val="minor"/>
      </rPr>
      <t>So</t>
    </r>
    <r>
      <rPr>
        <sz val="11"/>
        <color theme="1"/>
        <rFont val="Calibri"/>
        <family val="2"/>
        <scheme val="minor"/>
      </rPr>
      <t xml:space="preserve"> + 2 * n</t>
    </r>
    <r>
      <rPr>
        <sz val="8"/>
        <color theme="1"/>
        <rFont val="Calibri"/>
        <family val="2"/>
        <scheme val="minor"/>
      </rPr>
      <t>B</t>
    </r>
    <r>
      <rPr>
        <sz val="11"/>
        <color theme="1"/>
        <rFont val="Calibri"/>
        <family val="2"/>
        <scheme val="minor"/>
      </rPr>
      <t xml:space="preserve"> * h</t>
    </r>
    <r>
      <rPr>
        <sz val="8"/>
        <color theme="1"/>
        <rFont val="Calibri"/>
        <family val="2"/>
        <scheme val="minor"/>
      </rPr>
      <t>G</t>
    </r>
  </si>
  <si>
    <r>
      <t>U = b</t>
    </r>
    <r>
      <rPr>
        <sz val="8"/>
        <color theme="1"/>
        <rFont val="Calibri"/>
        <family val="2"/>
        <scheme val="minor"/>
      </rPr>
      <t>So</t>
    </r>
    <r>
      <rPr>
        <sz val="11"/>
        <color theme="1"/>
        <rFont val="Calibri"/>
        <family val="2"/>
        <scheme val="minor"/>
      </rPr>
      <t xml:space="preserve"> + 2 * h</t>
    </r>
    <r>
      <rPr>
        <sz val="8"/>
        <color theme="1"/>
        <rFont val="Calibri"/>
        <family val="2"/>
        <scheme val="minor"/>
      </rPr>
      <t>G</t>
    </r>
    <r>
      <rPr>
        <sz val="11"/>
        <color theme="1"/>
        <rFont val="Calibri"/>
        <family val="2"/>
        <scheme val="minor"/>
      </rPr>
      <t xml:space="preserve"> * (1 + n</t>
    </r>
    <r>
      <rPr>
        <sz val="8"/>
        <color theme="1"/>
        <rFont val="Calibri"/>
        <family val="2"/>
        <scheme val="minor"/>
      </rPr>
      <t>B</t>
    </r>
    <r>
      <rPr>
        <sz val="11"/>
        <color theme="1"/>
        <rFont val="Calibri"/>
        <family val="2"/>
        <scheme val="minor"/>
      </rPr>
      <t>²)^(1/2)</t>
    </r>
  </si>
  <si>
    <r>
      <t>R = A</t>
    </r>
    <r>
      <rPr>
        <sz val="8"/>
        <color theme="1"/>
        <rFont val="Calibri"/>
        <family val="2"/>
        <scheme val="minor"/>
      </rPr>
      <t>G</t>
    </r>
    <r>
      <rPr>
        <sz val="11"/>
        <color theme="1"/>
        <rFont val="Calibri"/>
        <family val="2"/>
        <scheme val="minor"/>
      </rPr>
      <t xml:space="preserve"> / U</t>
    </r>
  </si>
  <si>
    <r>
      <t>Q = v</t>
    </r>
    <r>
      <rPr>
        <sz val="8"/>
        <color theme="1"/>
        <rFont val="Calibri"/>
        <family val="2"/>
        <scheme val="minor"/>
      </rPr>
      <t>G</t>
    </r>
    <r>
      <rPr>
        <sz val="11"/>
        <color theme="1"/>
        <rFont val="Calibri"/>
        <family val="2"/>
        <scheme val="minor"/>
      </rPr>
      <t xml:space="preserve"> * A</t>
    </r>
    <r>
      <rPr>
        <sz val="8"/>
        <color theme="1"/>
        <rFont val="Calibri"/>
        <family val="2"/>
        <scheme val="minor"/>
      </rPr>
      <t>G</t>
    </r>
  </si>
  <si>
    <r>
      <t>h</t>
    </r>
    <r>
      <rPr>
        <sz val="8"/>
        <color theme="1"/>
        <rFont val="Calibri"/>
        <family val="2"/>
        <scheme val="minor"/>
      </rPr>
      <t>G</t>
    </r>
  </si>
  <si>
    <r>
      <t>A</t>
    </r>
    <r>
      <rPr>
        <sz val="8"/>
        <color theme="1"/>
        <rFont val="Calibri"/>
        <family val="2"/>
        <scheme val="minor"/>
      </rPr>
      <t>G</t>
    </r>
  </si>
  <si>
    <t>wenn vorhanden, sonst leer</t>
  </si>
  <si>
    <t>maßgebliche Einleitung für den stofflichen Nachweis</t>
  </si>
  <si>
    <r>
      <t>NH</t>
    </r>
    <r>
      <rPr>
        <b/>
        <sz val="8"/>
        <color theme="1"/>
        <rFont val="Calibri"/>
        <family val="2"/>
        <scheme val="minor"/>
      </rPr>
      <t>3</t>
    </r>
    <r>
      <rPr>
        <b/>
        <sz val="11"/>
        <color theme="1"/>
        <rFont val="Calibri"/>
        <family val="2"/>
        <scheme val="minor"/>
      </rPr>
      <t>-N Toxizität</t>
    </r>
  </si>
  <si>
    <t>Alkalinität im Gewässer nach Einleitung</t>
  </si>
  <si>
    <t>Anleitung</t>
  </si>
  <si>
    <t>1. Alle Daten aus hydrologischen Unterlagen und aus der Gewässerbegehung eingeben.</t>
  </si>
  <si>
    <t>b</t>
  </si>
  <si>
    <t>a</t>
  </si>
  <si>
    <t>c =</t>
  </si>
  <si>
    <t>d =</t>
  </si>
  <si>
    <t>y = c * x^d</t>
  </si>
  <si>
    <t>c</t>
  </si>
  <si>
    <t>d</t>
  </si>
  <si>
    <t>2. Maximaler Einflussbereich aus Tabelle 7 in Abhängigkeit der Fließgeschwindigkeit und Fließtiefe bei MNQ auswählen.</t>
  </si>
  <si>
    <t>Faktoren zur Berechnung der Fließgeschwindigkeit (mit Hilfe angenäherter Potenzgleichung                        - siehe Tabellenblatt "Gewässerhydraulik")</t>
  </si>
  <si>
    <t>Faktoren zur Berechnung der Fließgeschwindigkeit und der mittleren Tiefe                                                 (mit Hilfe angenäherter Potenzgleichungen - siehe Tabellenblatt "Gewässerhydraulik")</t>
  </si>
  <si>
    <t>e =</t>
  </si>
  <si>
    <t>f =</t>
  </si>
  <si>
    <t>y = e * x^f</t>
  </si>
  <si>
    <t>e</t>
  </si>
  <si>
    <t>f</t>
  </si>
  <si>
    <t>angenäherte Potenztrendlinie für den hydrologischen Nachweis</t>
  </si>
  <si>
    <t>angenäherte Potenztrendlinien für den stofflichen Nachweis</t>
  </si>
  <si>
    <t>Fließtiefe</t>
  </si>
  <si>
    <r>
      <t>h</t>
    </r>
    <r>
      <rPr>
        <i/>
        <sz val="8"/>
        <color theme="1"/>
        <rFont val="Calibri"/>
        <family val="2"/>
        <scheme val="minor"/>
      </rPr>
      <t>G</t>
    </r>
    <r>
      <rPr>
        <i/>
        <sz val="11"/>
        <color theme="1"/>
        <rFont val="Calibri"/>
        <family val="2"/>
        <scheme val="minor"/>
      </rPr>
      <t xml:space="preserve"> iterativ</t>
    </r>
  </si>
  <si>
    <r>
      <t>h</t>
    </r>
    <r>
      <rPr>
        <i/>
        <sz val="8"/>
        <color theme="1"/>
        <rFont val="Calibri"/>
        <family val="2"/>
        <scheme val="minor"/>
      </rPr>
      <t>Gi</t>
    </r>
  </si>
  <si>
    <t>berechnet mit Hilfe Potenzgleichung</t>
  </si>
  <si>
    <t>Drosselabfluss ins Gewässer</t>
  </si>
  <si>
    <t>nach Churchill</t>
  </si>
  <si>
    <r>
      <t>Q</t>
    </r>
    <r>
      <rPr>
        <i/>
        <sz val="8"/>
        <color theme="1"/>
        <rFont val="Calibri"/>
        <family val="2"/>
        <scheme val="minor"/>
      </rPr>
      <t>Dr1</t>
    </r>
  </si>
  <si>
    <t>%</t>
  </si>
  <si>
    <t>Abbauleistung</t>
  </si>
  <si>
    <t>spendenabhängiger Konzentrationsfaktor des Regenwassers</t>
  </si>
  <si>
    <t>Standardvorgabe: 1,0</t>
  </si>
  <si>
    <r>
      <t>c</t>
    </r>
    <r>
      <rPr>
        <sz val="8"/>
        <color theme="1"/>
        <rFont val="Calibri"/>
        <family val="2"/>
        <scheme val="minor"/>
      </rPr>
      <t>f</t>
    </r>
    <r>
      <rPr>
        <sz val="11"/>
        <color theme="1"/>
        <rFont val="Calibri"/>
        <family val="2"/>
        <scheme val="minor"/>
      </rPr>
      <t xml:space="preserve"> (BSB</t>
    </r>
    <r>
      <rPr>
        <sz val="8"/>
        <color theme="1"/>
        <rFont val="Calibri"/>
        <family val="2"/>
        <scheme val="minor"/>
      </rPr>
      <t>5</t>
    </r>
    <r>
      <rPr>
        <sz val="11"/>
        <color theme="1"/>
        <rFont val="Calibri"/>
        <family val="2"/>
        <scheme val="minor"/>
      </rPr>
      <t>)</t>
    </r>
  </si>
  <si>
    <r>
      <t>c</t>
    </r>
    <r>
      <rPr>
        <sz val="8"/>
        <color theme="1"/>
        <rFont val="Calibri"/>
        <family val="2"/>
        <scheme val="minor"/>
      </rPr>
      <t>f</t>
    </r>
    <r>
      <rPr>
        <sz val="11"/>
        <color theme="1"/>
        <rFont val="Calibri"/>
        <family val="2"/>
        <scheme val="minor"/>
      </rPr>
      <t xml:space="preserve"> (NH</t>
    </r>
    <r>
      <rPr>
        <sz val="8"/>
        <color theme="1"/>
        <rFont val="Calibri"/>
        <family val="2"/>
        <scheme val="minor"/>
      </rPr>
      <t>4</t>
    </r>
    <r>
      <rPr>
        <sz val="11"/>
        <color theme="1"/>
        <rFont val="Calibri"/>
        <family val="2"/>
        <scheme val="minor"/>
      </rPr>
      <t>-N)</t>
    </r>
  </si>
  <si>
    <t>Einleitungskonzentration</t>
  </si>
  <si>
    <t>Einleitungsabfluss oberstrom gelegener Einleitungen</t>
  </si>
  <si>
    <t>Abminderungsbeiwert „befestigte Fläche“</t>
  </si>
  <si>
    <t>Standardvorgabe: 1; oder Tabelle C.1</t>
  </si>
  <si>
    <r>
      <t>v</t>
    </r>
    <r>
      <rPr>
        <sz val="8"/>
        <color theme="0" tint="-0.14999847407452621"/>
        <rFont val="Calibri"/>
        <family val="2"/>
        <scheme val="minor"/>
      </rPr>
      <t>G,berechnet</t>
    </r>
  </si>
  <si>
    <t>Fehlerqua.</t>
  </si>
  <si>
    <r>
      <t>h</t>
    </r>
    <r>
      <rPr>
        <sz val="8"/>
        <color theme="0" tint="-0.14999847407452621"/>
        <rFont val="Calibri"/>
        <family val="2"/>
        <scheme val="minor"/>
      </rPr>
      <t>m,berechnet</t>
    </r>
  </si>
  <si>
    <t>Summe der Fehlerquadrate</t>
  </si>
  <si>
    <t>Solver</t>
  </si>
  <si>
    <t>Anleitung:</t>
  </si>
  <si>
    <t>Lösung mit dem Solver-Tool:</t>
  </si>
  <si>
    <t>geodätische Höhe der Einleitungsstelle</t>
  </si>
  <si>
    <t>mNN</t>
  </si>
  <si>
    <t>wenn T nicht mit 20°C gewählt wird</t>
  </si>
  <si>
    <r>
      <t>H</t>
    </r>
    <r>
      <rPr>
        <i/>
        <sz val="8"/>
        <color theme="1"/>
        <rFont val="Calibri"/>
        <family val="2"/>
        <scheme val="minor"/>
      </rPr>
      <t>geo,E</t>
    </r>
  </si>
  <si>
    <t>theoretische Sauerstoff-Sättigungskonzentration</t>
  </si>
  <si>
    <t>Standard bei 20°C: 9,1 mg/l</t>
  </si>
  <si>
    <r>
      <t>D</t>
    </r>
    <r>
      <rPr>
        <i/>
        <sz val="8"/>
        <color theme="1"/>
        <rFont val="Calibri"/>
        <family val="2"/>
        <scheme val="minor"/>
      </rPr>
      <t>V,%</t>
    </r>
  </si>
  <si>
    <t>unbelastet: 0%; mäßig eutroph: 20%;    hoch eutroph: 40%</t>
  </si>
  <si>
    <r>
      <t>C</t>
    </r>
    <r>
      <rPr>
        <i/>
        <sz val="8"/>
        <color theme="0" tint="-0.499984740745262"/>
        <rFont val="Calibri"/>
        <family val="2"/>
        <scheme val="minor"/>
      </rPr>
      <t>Sätt,O2,V</t>
    </r>
  </si>
  <si>
    <r>
      <t>C</t>
    </r>
    <r>
      <rPr>
        <i/>
        <sz val="8"/>
        <color theme="0" tint="-0.499984740745262"/>
        <rFont val="Calibri"/>
        <family val="2"/>
        <scheme val="minor"/>
      </rPr>
      <t>Sätt,O2,E</t>
    </r>
  </si>
  <si>
    <t>gesamte befestigte Fläche</t>
  </si>
  <si>
    <r>
      <t>A</t>
    </r>
    <r>
      <rPr>
        <sz val="8"/>
        <color theme="1"/>
        <rFont val="Calibri"/>
        <family val="2"/>
        <scheme val="minor"/>
      </rPr>
      <t>b,a,1</t>
    </r>
  </si>
  <si>
    <r>
      <t>A</t>
    </r>
    <r>
      <rPr>
        <sz val="8"/>
        <color theme="1"/>
        <rFont val="Calibri"/>
        <family val="2"/>
        <scheme val="minor"/>
      </rPr>
      <t>b,a,2</t>
    </r>
  </si>
  <si>
    <r>
      <t>3. Befestigte angeschlossene Fläche und Abminderungsbeiwert eingeben.  Abminderungsbeiwert f</t>
    </r>
    <r>
      <rPr>
        <sz val="8"/>
        <color theme="1"/>
        <rFont val="Calibri"/>
        <family val="2"/>
        <scheme val="minor"/>
      </rPr>
      <t>D</t>
    </r>
    <r>
      <rPr>
        <sz val="11"/>
        <color theme="1"/>
        <rFont val="Calibri"/>
        <family val="2"/>
        <scheme val="minor"/>
      </rPr>
      <t xml:space="preserve"> kann aus Tabelle C.1 gewählt, bzw. bei Unwissenheit mit 1 angenommen werden.</t>
    </r>
  </si>
  <si>
    <t>nicht behandlungsbedürftig</t>
  </si>
  <si>
    <t>behandlungsbedürftig</t>
  </si>
  <si>
    <r>
      <t>D</t>
    </r>
    <r>
      <rPr>
        <i/>
        <sz val="8"/>
        <color theme="1"/>
        <rFont val="Calibri"/>
        <family val="2"/>
        <scheme val="minor"/>
      </rPr>
      <t>E,%,1</t>
    </r>
  </si>
  <si>
    <r>
      <t>D</t>
    </r>
    <r>
      <rPr>
        <i/>
        <sz val="8"/>
        <color theme="1"/>
        <rFont val="Calibri"/>
        <family val="2"/>
        <scheme val="minor"/>
      </rPr>
      <t>E,%,2</t>
    </r>
    <r>
      <rPr>
        <sz val="11"/>
        <color theme="1"/>
        <rFont val="Calibri"/>
        <family val="2"/>
        <scheme val="minor"/>
      </rPr>
      <t/>
    </r>
  </si>
  <si>
    <t>Sauerstoffdefizit des nicht behandlungsbedürftigem Einleitungsabflusses</t>
  </si>
  <si>
    <t>Sauerstoff-Vorbelastungsdefizit des aktuellen Gewässerabschnitts</t>
  </si>
  <si>
    <t>Sauerstoffdefizit des behandlungsbedürftigem Einleitungsabflusses</t>
  </si>
  <si>
    <t>gering verschmutzte Flächen (z.B. Dächer)</t>
  </si>
  <si>
    <t>Niederschlagswasserbehandlung und -rückhalt des behandlungsbedürftigem Niederschlagswasserabflusses</t>
  </si>
  <si>
    <r>
      <t>Q</t>
    </r>
    <r>
      <rPr>
        <i/>
        <sz val="8"/>
        <color theme="1"/>
        <rFont val="Calibri"/>
        <family val="2"/>
        <scheme val="minor"/>
      </rPr>
      <t>Dr2</t>
    </r>
  </si>
  <si>
    <r>
      <t>z.B.: Bodenfilter: BSB</t>
    </r>
    <r>
      <rPr>
        <i/>
        <sz val="8"/>
        <color theme="1"/>
        <rFont val="Calibri"/>
        <family val="2"/>
        <scheme val="minor"/>
      </rPr>
      <t>5</t>
    </r>
    <r>
      <rPr>
        <i/>
        <sz val="11"/>
        <color theme="1"/>
        <rFont val="Calibri"/>
        <family val="2"/>
        <scheme val="minor"/>
      </rPr>
      <t xml:space="preserve"> </t>
    </r>
    <r>
      <rPr>
        <i/>
        <sz val="11"/>
        <color theme="1"/>
        <rFont val="Calibri"/>
        <family val="2"/>
      </rPr>
      <t>≥ 80 %                       NH</t>
    </r>
    <r>
      <rPr>
        <i/>
        <sz val="8"/>
        <color theme="1"/>
        <rFont val="Calibri"/>
        <family val="2"/>
      </rPr>
      <t>4</t>
    </r>
    <r>
      <rPr>
        <i/>
        <sz val="11"/>
        <color theme="1"/>
        <rFont val="Calibri"/>
        <family val="2"/>
      </rPr>
      <t>-N ≥ 60 %</t>
    </r>
  </si>
  <si>
    <r>
      <t>Q</t>
    </r>
    <r>
      <rPr>
        <sz val="8"/>
        <color theme="1"/>
        <rFont val="Calibri"/>
        <family val="2"/>
        <scheme val="minor"/>
      </rPr>
      <t>R,st,1</t>
    </r>
  </si>
  <si>
    <r>
      <t>Q</t>
    </r>
    <r>
      <rPr>
        <sz val="8"/>
        <color theme="1"/>
        <rFont val="Calibri"/>
        <family val="2"/>
        <scheme val="minor"/>
      </rPr>
      <t>R,st,2</t>
    </r>
  </si>
  <si>
    <t>Einleitungsfracht des behandeltem Regenabflusses</t>
  </si>
  <si>
    <t>Einleitungsfracht des unbehandeltem Regenabflusses</t>
  </si>
  <si>
    <r>
      <t>Q</t>
    </r>
    <r>
      <rPr>
        <sz val="8"/>
        <color theme="1"/>
        <rFont val="Calibri"/>
        <family val="2"/>
        <scheme val="minor"/>
      </rPr>
      <t>R,st1</t>
    </r>
    <r>
      <rPr>
        <sz val="11"/>
        <color theme="1"/>
        <rFont val="Calibri"/>
        <family val="2"/>
        <scheme val="minor"/>
      </rPr>
      <t xml:space="preserve"> = q</t>
    </r>
    <r>
      <rPr>
        <sz val="8"/>
        <color theme="1"/>
        <rFont val="Calibri"/>
        <family val="2"/>
        <scheme val="minor"/>
      </rPr>
      <t>r</t>
    </r>
    <r>
      <rPr>
        <sz val="11"/>
        <color theme="1"/>
        <rFont val="Calibri"/>
        <family val="2"/>
        <scheme val="minor"/>
      </rPr>
      <t xml:space="preserve"> * A</t>
    </r>
    <r>
      <rPr>
        <sz val="8"/>
        <color theme="1"/>
        <rFont val="Calibri"/>
        <family val="2"/>
        <scheme val="minor"/>
      </rPr>
      <t>b,a,1</t>
    </r>
    <r>
      <rPr>
        <sz val="11"/>
        <color theme="1"/>
        <rFont val="Calibri"/>
        <family val="2"/>
        <scheme val="minor"/>
      </rPr>
      <t xml:space="preserve"> * f</t>
    </r>
    <r>
      <rPr>
        <sz val="8"/>
        <color theme="1"/>
        <rFont val="Calibri"/>
        <family val="2"/>
        <scheme val="minor"/>
      </rPr>
      <t>D</t>
    </r>
  </si>
  <si>
    <r>
      <t>Q</t>
    </r>
    <r>
      <rPr>
        <sz val="8"/>
        <color theme="1"/>
        <rFont val="Calibri"/>
        <family val="2"/>
        <scheme val="minor"/>
      </rPr>
      <t>R,st,2</t>
    </r>
    <r>
      <rPr>
        <sz val="11"/>
        <color theme="1"/>
        <rFont val="Calibri"/>
        <family val="2"/>
        <scheme val="minor"/>
      </rPr>
      <t xml:space="preserve"> = q</t>
    </r>
    <r>
      <rPr>
        <sz val="8"/>
        <color theme="1"/>
        <rFont val="Calibri"/>
        <family val="2"/>
        <scheme val="minor"/>
      </rPr>
      <t>r</t>
    </r>
    <r>
      <rPr>
        <sz val="11"/>
        <color theme="1"/>
        <rFont val="Calibri"/>
        <family val="2"/>
        <scheme val="minor"/>
      </rPr>
      <t xml:space="preserve"> * A</t>
    </r>
    <r>
      <rPr>
        <sz val="8"/>
        <color theme="1"/>
        <rFont val="Calibri"/>
        <family val="2"/>
        <scheme val="minor"/>
      </rPr>
      <t>b,a,2</t>
    </r>
    <r>
      <rPr>
        <sz val="11"/>
        <color theme="1"/>
        <rFont val="Calibri"/>
        <family val="2"/>
        <scheme val="minor"/>
      </rPr>
      <t xml:space="preserve"> * f</t>
    </r>
    <r>
      <rPr>
        <sz val="8"/>
        <color theme="1"/>
        <rFont val="Calibri"/>
        <family val="2"/>
        <scheme val="minor"/>
      </rPr>
      <t>D</t>
    </r>
  </si>
  <si>
    <r>
      <t>Q</t>
    </r>
    <r>
      <rPr>
        <sz val="8"/>
        <color theme="1"/>
        <rFont val="Calibri"/>
        <family val="2"/>
        <scheme val="minor"/>
      </rPr>
      <t>E,st,1</t>
    </r>
    <r>
      <rPr>
        <sz val="11"/>
        <color theme="1"/>
        <rFont val="Calibri"/>
        <family val="2"/>
        <scheme val="minor"/>
      </rPr>
      <t xml:space="preserve"> = min(Q</t>
    </r>
    <r>
      <rPr>
        <sz val="8"/>
        <color theme="1"/>
        <rFont val="Calibri"/>
        <family val="2"/>
        <scheme val="minor"/>
      </rPr>
      <t>Dr1</t>
    </r>
    <r>
      <rPr>
        <sz val="11"/>
        <color theme="1"/>
        <rFont val="Calibri"/>
        <family val="2"/>
        <scheme val="minor"/>
      </rPr>
      <t>; Q</t>
    </r>
    <r>
      <rPr>
        <sz val="8"/>
        <color theme="1"/>
        <rFont val="Calibri"/>
        <family val="2"/>
        <scheme val="minor"/>
      </rPr>
      <t>R,st,1</t>
    </r>
    <r>
      <rPr>
        <sz val="11"/>
        <color theme="1"/>
        <rFont val="Calibri"/>
        <family val="2"/>
        <scheme val="minor"/>
      </rPr>
      <t>)</t>
    </r>
  </si>
  <si>
    <r>
      <t>Q</t>
    </r>
    <r>
      <rPr>
        <sz val="8"/>
        <color theme="1"/>
        <rFont val="Calibri"/>
        <family val="2"/>
        <scheme val="minor"/>
      </rPr>
      <t>E,st,2</t>
    </r>
    <r>
      <rPr>
        <sz val="11"/>
        <color theme="1"/>
        <rFont val="Calibri"/>
        <family val="2"/>
        <scheme val="minor"/>
      </rPr>
      <t xml:space="preserve"> = min(Q</t>
    </r>
    <r>
      <rPr>
        <sz val="8"/>
        <color theme="1"/>
        <rFont val="Calibri"/>
        <family val="2"/>
        <scheme val="minor"/>
      </rPr>
      <t>Dr2</t>
    </r>
    <r>
      <rPr>
        <sz val="11"/>
        <color theme="1"/>
        <rFont val="Calibri"/>
        <family val="2"/>
        <scheme val="minor"/>
      </rPr>
      <t>; Q</t>
    </r>
    <r>
      <rPr>
        <sz val="8"/>
        <color theme="1"/>
        <rFont val="Calibri"/>
        <family val="2"/>
        <scheme val="minor"/>
      </rPr>
      <t>R,st,2</t>
    </r>
    <r>
      <rPr>
        <sz val="11"/>
        <color theme="1"/>
        <rFont val="Calibri"/>
        <family val="2"/>
        <scheme val="minor"/>
      </rPr>
      <t>)</t>
    </r>
  </si>
  <si>
    <r>
      <t>Q</t>
    </r>
    <r>
      <rPr>
        <sz val="8"/>
        <color theme="1"/>
        <rFont val="Calibri"/>
        <family val="2"/>
        <scheme val="minor"/>
      </rPr>
      <t>E,st,1</t>
    </r>
  </si>
  <si>
    <r>
      <t>Q</t>
    </r>
    <r>
      <rPr>
        <sz val="8"/>
        <color theme="1"/>
        <rFont val="Calibri"/>
        <family val="2"/>
        <scheme val="minor"/>
      </rPr>
      <t>E,st,2</t>
    </r>
  </si>
  <si>
    <r>
      <t>Q</t>
    </r>
    <r>
      <rPr>
        <sz val="8"/>
        <color theme="1"/>
        <rFont val="Calibri"/>
        <family val="2"/>
        <scheme val="minor"/>
      </rPr>
      <t>E,st</t>
    </r>
    <r>
      <rPr>
        <sz val="11"/>
        <color theme="1"/>
        <rFont val="Calibri"/>
        <family val="2"/>
        <scheme val="minor"/>
      </rPr>
      <t xml:space="preserve"> = Q</t>
    </r>
    <r>
      <rPr>
        <sz val="8"/>
        <color theme="1"/>
        <rFont val="Calibri"/>
        <family val="2"/>
        <scheme val="minor"/>
      </rPr>
      <t>E,st,1</t>
    </r>
    <r>
      <rPr>
        <sz val="11"/>
        <color theme="1"/>
        <rFont val="Calibri"/>
        <family val="2"/>
        <scheme val="minor"/>
      </rPr>
      <t xml:space="preserve"> + Q</t>
    </r>
    <r>
      <rPr>
        <sz val="8"/>
        <color theme="1"/>
        <rFont val="Calibri"/>
        <family val="2"/>
        <scheme val="minor"/>
      </rPr>
      <t>E,st,2</t>
    </r>
  </si>
  <si>
    <t>maßgeblicher Regenabfluss für nicht behandlungsbedürftigem Anteil</t>
  </si>
  <si>
    <t>maßgeblicher Regenabfluss für behandlungsbedürftigem Abfluss</t>
  </si>
  <si>
    <t>maßgebliche Einleitung für nicht behandlungsbedürftigem Anteil</t>
  </si>
  <si>
    <t>maßgebliche Einleitung für behandlungsbedürftigem Anteil</t>
  </si>
  <si>
    <r>
      <t>B</t>
    </r>
    <r>
      <rPr>
        <sz val="8"/>
        <color theme="1"/>
        <rFont val="Calibri"/>
        <family val="2"/>
        <scheme val="minor"/>
      </rPr>
      <t>E,1</t>
    </r>
    <r>
      <rPr>
        <sz val="11"/>
        <color theme="1"/>
        <rFont val="Calibri"/>
        <family val="2"/>
        <scheme val="minor"/>
      </rPr>
      <t xml:space="preserve"> = Q</t>
    </r>
    <r>
      <rPr>
        <sz val="8"/>
        <color theme="1"/>
        <rFont val="Calibri"/>
        <family val="2"/>
        <scheme val="minor"/>
      </rPr>
      <t>E,st.1</t>
    </r>
    <r>
      <rPr>
        <sz val="11"/>
        <color theme="1"/>
        <rFont val="Calibri"/>
        <family val="2"/>
        <scheme val="minor"/>
      </rPr>
      <t xml:space="preserve"> * C</t>
    </r>
    <r>
      <rPr>
        <sz val="8"/>
        <color theme="1"/>
        <rFont val="Calibri"/>
        <family val="2"/>
        <scheme val="minor"/>
      </rPr>
      <t>R1</t>
    </r>
    <r>
      <rPr>
        <sz val="11"/>
        <color theme="1"/>
        <rFont val="Calibri"/>
        <family val="2"/>
        <scheme val="minor"/>
      </rPr>
      <t xml:space="preserve"> * c</t>
    </r>
    <r>
      <rPr>
        <sz val="8"/>
        <color theme="1"/>
        <rFont val="Calibri"/>
        <family val="2"/>
        <scheme val="minor"/>
      </rPr>
      <t>f</t>
    </r>
  </si>
  <si>
    <r>
      <t>C</t>
    </r>
    <r>
      <rPr>
        <sz val="8"/>
        <color theme="1"/>
        <rFont val="Calibri"/>
        <family val="2"/>
        <scheme val="minor"/>
      </rPr>
      <t>E</t>
    </r>
    <r>
      <rPr>
        <sz val="11"/>
        <color theme="1"/>
        <rFont val="Calibri"/>
        <family val="2"/>
        <scheme val="minor"/>
      </rPr>
      <t xml:space="preserve"> = (B</t>
    </r>
    <r>
      <rPr>
        <sz val="8"/>
        <color theme="1"/>
        <rFont val="Calibri"/>
        <family val="2"/>
        <scheme val="minor"/>
      </rPr>
      <t>E,1</t>
    </r>
    <r>
      <rPr>
        <sz val="11"/>
        <color theme="1"/>
        <rFont val="Calibri"/>
        <family val="2"/>
        <scheme val="minor"/>
      </rPr>
      <t xml:space="preserve"> + B</t>
    </r>
    <r>
      <rPr>
        <sz val="8"/>
        <color theme="1"/>
        <rFont val="Calibri"/>
        <family val="2"/>
        <scheme val="minor"/>
      </rPr>
      <t>E,2</t>
    </r>
    <r>
      <rPr>
        <sz val="11"/>
        <color theme="1"/>
        <rFont val="Calibri"/>
        <family val="2"/>
        <scheme val="minor"/>
      </rPr>
      <t>) / Q</t>
    </r>
    <r>
      <rPr>
        <sz val="8"/>
        <color theme="1"/>
        <rFont val="Calibri"/>
        <family val="2"/>
        <scheme val="minor"/>
      </rPr>
      <t>E,st</t>
    </r>
  </si>
  <si>
    <t>Konzentration der Schmutzstoffe im nicht behandlungsbedürftigem Regenabfluss</t>
  </si>
  <si>
    <t>Konzentration der Schmutzstoffe im behandlungsbedürftigem Regenabfluss</t>
  </si>
  <si>
    <r>
      <t>C</t>
    </r>
    <r>
      <rPr>
        <sz val="8"/>
        <color theme="1"/>
        <rFont val="Calibri"/>
        <family val="2"/>
        <scheme val="minor"/>
      </rPr>
      <t>R,1</t>
    </r>
    <r>
      <rPr>
        <sz val="11"/>
        <color theme="1"/>
        <rFont val="Calibri"/>
        <family val="2"/>
        <scheme val="minor"/>
      </rPr>
      <t xml:space="preserve"> (BSB</t>
    </r>
    <r>
      <rPr>
        <sz val="8"/>
        <color theme="1"/>
        <rFont val="Calibri"/>
        <family val="2"/>
        <scheme val="minor"/>
      </rPr>
      <t>5</t>
    </r>
    <r>
      <rPr>
        <sz val="11"/>
        <color theme="1"/>
        <rFont val="Calibri"/>
        <family val="2"/>
        <scheme val="minor"/>
      </rPr>
      <t>)</t>
    </r>
  </si>
  <si>
    <r>
      <t>C</t>
    </r>
    <r>
      <rPr>
        <sz val="8"/>
        <color theme="1"/>
        <rFont val="Calibri"/>
        <family val="2"/>
        <scheme val="minor"/>
      </rPr>
      <t>R,1</t>
    </r>
    <r>
      <rPr>
        <sz val="11"/>
        <color theme="1"/>
        <rFont val="Calibri"/>
        <family val="2"/>
        <scheme val="minor"/>
      </rPr>
      <t xml:space="preserve"> (NH</t>
    </r>
    <r>
      <rPr>
        <sz val="8"/>
        <color theme="1"/>
        <rFont val="Calibri"/>
        <family val="2"/>
        <scheme val="minor"/>
      </rPr>
      <t>4</t>
    </r>
    <r>
      <rPr>
        <sz val="11"/>
        <color theme="1"/>
        <rFont val="Calibri"/>
        <family val="2"/>
        <scheme val="minor"/>
      </rPr>
      <t>-N)</t>
    </r>
  </si>
  <si>
    <r>
      <t>C</t>
    </r>
    <r>
      <rPr>
        <sz val="8"/>
        <color theme="1"/>
        <rFont val="Calibri"/>
        <family val="2"/>
        <scheme val="minor"/>
      </rPr>
      <t>R,2</t>
    </r>
    <r>
      <rPr>
        <sz val="11"/>
        <color theme="1"/>
        <rFont val="Calibri"/>
        <family val="2"/>
        <scheme val="minor"/>
      </rPr>
      <t xml:space="preserve"> (BSB</t>
    </r>
    <r>
      <rPr>
        <sz val="8"/>
        <color theme="1"/>
        <rFont val="Calibri"/>
        <family val="2"/>
        <scheme val="minor"/>
      </rPr>
      <t>5</t>
    </r>
    <r>
      <rPr>
        <sz val="11"/>
        <color theme="1"/>
        <rFont val="Calibri"/>
        <family val="2"/>
        <scheme val="minor"/>
      </rPr>
      <t>)</t>
    </r>
  </si>
  <si>
    <r>
      <t>C</t>
    </r>
    <r>
      <rPr>
        <sz val="8"/>
        <color theme="1"/>
        <rFont val="Calibri"/>
        <family val="2"/>
        <scheme val="minor"/>
      </rPr>
      <t>R,2</t>
    </r>
    <r>
      <rPr>
        <sz val="11"/>
        <color theme="1"/>
        <rFont val="Calibri"/>
        <family val="2"/>
        <scheme val="minor"/>
      </rPr>
      <t xml:space="preserve"> (NH</t>
    </r>
    <r>
      <rPr>
        <sz val="8"/>
        <color theme="1"/>
        <rFont val="Calibri"/>
        <family val="2"/>
        <scheme val="minor"/>
      </rPr>
      <t>4</t>
    </r>
    <r>
      <rPr>
        <sz val="11"/>
        <color theme="1"/>
        <rFont val="Calibri"/>
        <family val="2"/>
        <scheme val="minor"/>
      </rPr>
      <t>-N)</t>
    </r>
  </si>
  <si>
    <t>Standardvorgabe: 20 mg/l</t>
  </si>
  <si>
    <t>Standardvorgabe: 5 mg/l</t>
  </si>
  <si>
    <t>mm</t>
  </si>
  <si>
    <t>N</t>
  </si>
  <si>
    <t>Niederschlagshöhe nach KOSTRA-Atlas od. lokaler Auswertung mit n = 1</t>
  </si>
  <si>
    <r>
      <t>D</t>
    </r>
    <r>
      <rPr>
        <sz val="8"/>
        <color theme="1"/>
        <rFont val="Calibri"/>
        <family val="2"/>
        <scheme val="minor"/>
      </rPr>
      <t>E</t>
    </r>
    <r>
      <rPr>
        <sz val="11"/>
        <color theme="1"/>
        <rFont val="Calibri"/>
        <family val="2"/>
        <scheme val="minor"/>
      </rPr>
      <t xml:space="preserve"> = C</t>
    </r>
    <r>
      <rPr>
        <sz val="8"/>
        <color theme="1"/>
        <rFont val="Calibri"/>
        <family val="2"/>
        <scheme val="minor"/>
      </rPr>
      <t>Sätt,O2,V</t>
    </r>
    <r>
      <rPr>
        <sz val="11"/>
        <color theme="1"/>
        <rFont val="Calibri"/>
        <family val="2"/>
        <scheme val="minor"/>
      </rPr>
      <t xml:space="preserve"> * ((100-D</t>
    </r>
    <r>
      <rPr>
        <sz val="8"/>
        <color theme="1"/>
        <rFont val="Calibri"/>
        <family val="2"/>
        <scheme val="minor"/>
      </rPr>
      <t>E,%</t>
    </r>
    <r>
      <rPr>
        <sz val="11"/>
        <color theme="1"/>
        <rFont val="Calibri"/>
        <family val="2"/>
        <scheme val="minor"/>
      </rPr>
      <t>)/100)</t>
    </r>
  </si>
  <si>
    <t>Niederschlagswasserrückhalt des nicht behandlungsbedürftigem Niederschlagswasserabflusses</t>
  </si>
  <si>
    <t>verschmutzte Flächen (z.B. Hofflächen)</t>
  </si>
  <si>
    <t>befestigte Fläche</t>
  </si>
  <si>
    <r>
      <t>A</t>
    </r>
    <r>
      <rPr>
        <sz val="8"/>
        <color theme="1"/>
        <rFont val="Calibri"/>
        <family val="2"/>
        <scheme val="minor"/>
      </rPr>
      <t>b,a,ober</t>
    </r>
  </si>
  <si>
    <r>
      <t>Q</t>
    </r>
    <r>
      <rPr>
        <i/>
        <sz val="8"/>
        <color theme="1"/>
        <rFont val="Calibri"/>
        <family val="2"/>
        <scheme val="minor"/>
      </rPr>
      <t>Dr'</t>
    </r>
  </si>
  <si>
    <t>Konzentration der Schmutzstoffe im Regenabfluss</t>
  </si>
  <si>
    <r>
      <t>C</t>
    </r>
    <r>
      <rPr>
        <sz val="8"/>
        <color theme="1"/>
        <rFont val="Calibri"/>
        <family val="2"/>
        <scheme val="minor"/>
      </rPr>
      <t>R'</t>
    </r>
    <r>
      <rPr>
        <sz val="11"/>
        <color theme="1"/>
        <rFont val="Calibri"/>
        <family val="2"/>
        <scheme val="minor"/>
      </rPr>
      <t xml:space="preserve"> (BSB</t>
    </r>
    <r>
      <rPr>
        <sz val="8"/>
        <color theme="1"/>
        <rFont val="Calibri"/>
        <family val="2"/>
        <scheme val="minor"/>
      </rPr>
      <t>5</t>
    </r>
    <r>
      <rPr>
        <sz val="11"/>
        <color theme="1"/>
        <rFont val="Calibri"/>
        <family val="2"/>
        <scheme val="minor"/>
      </rPr>
      <t>)</t>
    </r>
  </si>
  <si>
    <r>
      <t>C</t>
    </r>
    <r>
      <rPr>
        <sz val="8"/>
        <color theme="1"/>
        <rFont val="Calibri"/>
        <family val="2"/>
        <scheme val="minor"/>
      </rPr>
      <t>R'</t>
    </r>
    <r>
      <rPr>
        <sz val="11"/>
        <color theme="1"/>
        <rFont val="Calibri"/>
        <family val="2"/>
        <scheme val="minor"/>
      </rPr>
      <t xml:space="preserve"> (NH</t>
    </r>
    <r>
      <rPr>
        <sz val="8"/>
        <color theme="1"/>
        <rFont val="Calibri"/>
        <family val="2"/>
        <scheme val="minor"/>
      </rPr>
      <t>4</t>
    </r>
    <r>
      <rPr>
        <sz val="11"/>
        <color theme="1"/>
        <rFont val="Calibri"/>
        <family val="2"/>
        <scheme val="minor"/>
      </rPr>
      <t>-N)</t>
    </r>
  </si>
  <si>
    <r>
      <t>Q</t>
    </r>
    <r>
      <rPr>
        <sz val="8"/>
        <color theme="1"/>
        <rFont val="Calibri"/>
        <family val="2"/>
        <scheme val="minor"/>
      </rPr>
      <t>R,st</t>
    </r>
    <r>
      <rPr>
        <sz val="11"/>
        <color theme="1"/>
        <rFont val="Calibri"/>
        <family val="2"/>
        <scheme val="minor"/>
      </rPr>
      <t>'</t>
    </r>
  </si>
  <si>
    <r>
      <t>Q</t>
    </r>
    <r>
      <rPr>
        <sz val="8"/>
        <color theme="1"/>
        <rFont val="Calibri"/>
        <family val="2"/>
        <scheme val="minor"/>
      </rPr>
      <t>E,st</t>
    </r>
    <r>
      <rPr>
        <sz val="11"/>
        <color theme="1"/>
        <rFont val="Calibri"/>
        <family val="2"/>
        <scheme val="minor"/>
      </rPr>
      <t>' = min(Q</t>
    </r>
    <r>
      <rPr>
        <sz val="8"/>
        <color theme="1"/>
        <rFont val="Calibri"/>
        <family val="2"/>
        <scheme val="minor"/>
      </rPr>
      <t>Dr</t>
    </r>
    <r>
      <rPr>
        <sz val="11"/>
        <color theme="1"/>
        <rFont val="Calibri"/>
        <family val="2"/>
        <scheme val="minor"/>
      </rPr>
      <t>'; Q</t>
    </r>
    <r>
      <rPr>
        <sz val="8"/>
        <color theme="1"/>
        <rFont val="Calibri"/>
        <family val="2"/>
        <scheme val="minor"/>
      </rPr>
      <t>R</t>
    </r>
    <r>
      <rPr>
        <sz val="11"/>
        <color theme="1"/>
        <rFont val="Calibri"/>
        <family val="2"/>
        <scheme val="minor"/>
      </rPr>
      <t>')</t>
    </r>
  </si>
  <si>
    <r>
      <t>Q</t>
    </r>
    <r>
      <rPr>
        <sz val="8"/>
        <color theme="1"/>
        <rFont val="Calibri"/>
        <family val="2"/>
        <scheme val="minor"/>
      </rPr>
      <t>R,st'</t>
    </r>
    <r>
      <rPr>
        <sz val="11"/>
        <color theme="1"/>
        <rFont val="Calibri"/>
        <family val="2"/>
        <scheme val="minor"/>
      </rPr>
      <t xml:space="preserve"> = q</t>
    </r>
    <r>
      <rPr>
        <sz val="8"/>
        <color theme="1"/>
        <rFont val="Calibri"/>
        <family val="2"/>
        <scheme val="minor"/>
      </rPr>
      <t>r</t>
    </r>
    <r>
      <rPr>
        <sz val="11"/>
        <color theme="1"/>
        <rFont val="Calibri"/>
        <family val="2"/>
        <scheme val="minor"/>
      </rPr>
      <t xml:space="preserve"> * A</t>
    </r>
    <r>
      <rPr>
        <sz val="8"/>
        <color theme="1"/>
        <rFont val="Calibri"/>
        <family val="2"/>
        <scheme val="minor"/>
      </rPr>
      <t>b,a,ober</t>
    </r>
    <r>
      <rPr>
        <sz val="11"/>
        <color theme="1"/>
        <rFont val="Calibri"/>
        <family val="2"/>
        <scheme val="minor"/>
      </rPr>
      <t xml:space="preserve"> * f</t>
    </r>
    <r>
      <rPr>
        <sz val="8"/>
        <color theme="1"/>
        <rFont val="Calibri"/>
        <family val="2"/>
        <scheme val="minor"/>
      </rPr>
      <t>D</t>
    </r>
  </si>
  <si>
    <t>Übernahme aus anderen Projekten immer besser</t>
  </si>
  <si>
    <r>
      <rPr>
        <sz val="11"/>
        <color theme="1"/>
        <rFont val="Calibri"/>
        <family val="2"/>
      </rPr>
      <t>∑</t>
    </r>
    <r>
      <rPr>
        <sz val="11"/>
        <color theme="1"/>
        <rFont val="Calibri"/>
        <family val="2"/>
        <scheme val="minor"/>
      </rPr>
      <t>Q</t>
    </r>
    <r>
      <rPr>
        <sz val="8"/>
        <color theme="1"/>
        <rFont val="Calibri"/>
        <family val="2"/>
        <scheme val="minor"/>
      </rPr>
      <t>E</t>
    </r>
  </si>
  <si>
    <r>
      <t>Q</t>
    </r>
    <r>
      <rPr>
        <sz val="8"/>
        <color theme="1"/>
        <rFont val="Calibri"/>
        <family val="2"/>
        <scheme val="minor"/>
      </rPr>
      <t>E,zul</t>
    </r>
  </si>
  <si>
    <r>
      <rPr>
        <sz val="11"/>
        <color theme="1"/>
        <rFont val="Calibri"/>
        <family val="2"/>
      </rPr>
      <t>∑</t>
    </r>
    <r>
      <rPr>
        <i/>
        <sz val="11"/>
        <color theme="1"/>
        <rFont val="Calibri"/>
        <family val="2"/>
        <scheme val="minor"/>
      </rPr>
      <t>Q</t>
    </r>
    <r>
      <rPr>
        <i/>
        <sz val="8"/>
        <color theme="1"/>
        <rFont val="Calibri"/>
        <family val="2"/>
        <scheme val="minor"/>
      </rPr>
      <t>Dr',ober</t>
    </r>
  </si>
  <si>
    <r>
      <rPr>
        <b/>
        <sz val="11"/>
        <color theme="1"/>
        <rFont val="Calibri"/>
        <family val="2"/>
        <scheme val="minor"/>
      </rPr>
      <t>Anleitung:</t>
    </r>
    <r>
      <rPr>
        <sz val="11"/>
        <color theme="1"/>
        <rFont val="Calibri"/>
        <family val="2"/>
        <scheme val="minor"/>
      </rPr>
      <t xml:space="preserve"> Orange gefärbete Zellen sind auszufüllen; gelb markierten Zellen sind Formeln hinterlegt. Diese sind dementsprechend nicht zu verändern.</t>
    </r>
  </si>
  <si>
    <t>m³/a</t>
  </si>
  <si>
    <t>mittlerer Jahresniederschlag</t>
  </si>
  <si>
    <r>
      <t>h</t>
    </r>
    <r>
      <rPr>
        <sz val="8"/>
        <color theme="1"/>
        <rFont val="Calibri"/>
        <family val="2"/>
        <scheme val="minor"/>
      </rPr>
      <t>NA</t>
    </r>
  </si>
  <si>
    <t>l/m²</t>
  </si>
  <si>
    <t>gesamter Niederschlagswasseranfall</t>
  </si>
  <si>
    <r>
      <t>C</t>
    </r>
    <r>
      <rPr>
        <sz val="8"/>
        <color theme="1"/>
        <rFont val="Calibri"/>
        <family val="2"/>
        <scheme val="minor"/>
      </rPr>
      <t>OW</t>
    </r>
    <r>
      <rPr>
        <sz val="11"/>
        <color theme="1"/>
        <rFont val="Calibri"/>
        <family val="2"/>
        <scheme val="minor"/>
      </rPr>
      <t xml:space="preserve"> (P</t>
    </r>
    <r>
      <rPr>
        <sz val="8"/>
        <color theme="1"/>
        <rFont val="Calibri"/>
        <family val="2"/>
        <scheme val="minor"/>
      </rPr>
      <t>ges</t>
    </r>
    <r>
      <rPr>
        <sz val="11"/>
        <color theme="1"/>
        <rFont val="Calibri"/>
        <family val="2"/>
        <scheme val="minor"/>
      </rPr>
      <t>)</t>
    </r>
  </si>
  <si>
    <t>Orientierungswert (darf nicht durch Einleitungen überschritten werden)</t>
  </si>
  <si>
    <t>aus hydrologischen Unterlagen / Modellierung</t>
  </si>
  <si>
    <t>max. mögliche Einleitkonzentration</t>
  </si>
  <si>
    <r>
      <rPr>
        <sz val="11"/>
        <color theme="1"/>
        <rFont val="Calibri"/>
        <family val="2"/>
      </rPr>
      <t>η</t>
    </r>
    <r>
      <rPr>
        <i/>
        <sz val="11"/>
        <color theme="1"/>
        <rFont val="Calibri"/>
        <family val="2"/>
        <scheme val="minor"/>
      </rPr>
      <t xml:space="preserve"> (BSB</t>
    </r>
    <r>
      <rPr>
        <i/>
        <sz val="8"/>
        <color theme="1"/>
        <rFont val="Calibri"/>
        <family val="2"/>
        <scheme val="minor"/>
      </rPr>
      <t>5</t>
    </r>
    <r>
      <rPr>
        <i/>
        <sz val="11"/>
        <color theme="1"/>
        <rFont val="Calibri"/>
        <family val="2"/>
        <scheme val="minor"/>
      </rPr>
      <t>)</t>
    </r>
  </si>
  <si>
    <r>
      <rPr>
        <sz val="11"/>
        <color theme="1"/>
        <rFont val="Calibri"/>
        <family val="2"/>
      </rPr>
      <t>η</t>
    </r>
    <r>
      <rPr>
        <i/>
        <sz val="11"/>
        <color theme="1"/>
        <rFont val="Calibri"/>
        <family val="2"/>
        <scheme val="minor"/>
      </rPr>
      <t xml:space="preserve"> (NH</t>
    </r>
    <r>
      <rPr>
        <i/>
        <sz val="8"/>
        <color theme="1"/>
        <rFont val="Calibri"/>
        <family val="2"/>
        <scheme val="minor"/>
      </rPr>
      <t>4</t>
    </r>
    <r>
      <rPr>
        <i/>
        <sz val="11"/>
        <color theme="1"/>
        <rFont val="Calibri"/>
        <family val="2"/>
        <scheme val="minor"/>
      </rPr>
      <t>-N)</t>
    </r>
  </si>
  <si>
    <r>
      <t>B</t>
    </r>
    <r>
      <rPr>
        <sz val="8"/>
        <color theme="1"/>
        <rFont val="Calibri"/>
        <family val="2"/>
        <scheme val="minor"/>
      </rPr>
      <t>E,2</t>
    </r>
    <r>
      <rPr>
        <sz val="11"/>
        <color theme="1"/>
        <rFont val="Calibri"/>
        <family val="2"/>
        <scheme val="minor"/>
      </rPr>
      <t xml:space="preserve"> = Q</t>
    </r>
    <r>
      <rPr>
        <sz val="8"/>
        <color theme="1"/>
        <rFont val="Calibri"/>
        <family val="2"/>
        <scheme val="minor"/>
      </rPr>
      <t>E,st,2</t>
    </r>
    <r>
      <rPr>
        <sz val="11"/>
        <color theme="1"/>
        <rFont val="Calibri"/>
        <family val="2"/>
        <scheme val="minor"/>
      </rPr>
      <t xml:space="preserve"> * C</t>
    </r>
    <r>
      <rPr>
        <sz val="8"/>
        <color theme="1"/>
        <rFont val="Calibri"/>
        <family val="2"/>
        <scheme val="minor"/>
      </rPr>
      <t>R2</t>
    </r>
    <r>
      <rPr>
        <sz val="11"/>
        <color theme="1"/>
        <rFont val="Calibri"/>
        <family val="2"/>
        <scheme val="minor"/>
      </rPr>
      <t xml:space="preserve"> * c</t>
    </r>
    <r>
      <rPr>
        <sz val="8"/>
        <color theme="1"/>
        <rFont val="Calibri"/>
        <family val="2"/>
        <scheme val="minor"/>
      </rPr>
      <t xml:space="preserve">f </t>
    </r>
    <r>
      <rPr>
        <sz val="11"/>
        <color theme="1"/>
        <rFont val="Calibri"/>
        <family val="2"/>
        <scheme val="minor"/>
      </rPr>
      <t>* (1-</t>
    </r>
    <r>
      <rPr>
        <sz val="11"/>
        <color theme="1"/>
        <rFont val="Calibri"/>
        <family val="2"/>
      </rPr>
      <t>η</t>
    </r>
    <r>
      <rPr>
        <sz val="11"/>
        <color theme="1"/>
        <rFont val="Calibri"/>
        <family val="2"/>
        <scheme val="minor"/>
      </rPr>
      <t>/100)</t>
    </r>
  </si>
  <si>
    <r>
      <t>C</t>
    </r>
    <r>
      <rPr>
        <sz val="8"/>
        <color theme="1"/>
        <rFont val="Calibri"/>
        <family val="2"/>
        <scheme val="minor"/>
      </rPr>
      <t>E,soll</t>
    </r>
    <r>
      <rPr>
        <sz val="11"/>
        <color theme="1"/>
        <rFont val="Calibri"/>
        <family val="2"/>
        <scheme val="minor"/>
      </rPr>
      <t xml:space="preserve"> (P</t>
    </r>
    <r>
      <rPr>
        <sz val="8"/>
        <color theme="1"/>
        <rFont val="Calibri"/>
        <family val="2"/>
        <scheme val="minor"/>
      </rPr>
      <t>ges</t>
    </r>
    <r>
      <rPr>
        <sz val="11"/>
        <color theme="1"/>
        <rFont val="Calibri"/>
        <family val="2"/>
        <scheme val="minor"/>
      </rPr>
      <t>)</t>
    </r>
  </si>
  <si>
    <r>
      <t>Q</t>
    </r>
    <r>
      <rPr>
        <sz val="8"/>
        <color theme="1"/>
        <rFont val="Calibri"/>
        <family val="2"/>
        <scheme val="minor"/>
      </rPr>
      <t>R,a</t>
    </r>
  </si>
  <si>
    <r>
      <t>Q</t>
    </r>
    <r>
      <rPr>
        <sz val="8"/>
        <color theme="1"/>
        <rFont val="Calibri"/>
        <family val="2"/>
        <scheme val="minor"/>
      </rPr>
      <t>ges</t>
    </r>
  </si>
  <si>
    <t>Jahresabfluss gesamt (befestigte Flächen enthalten)</t>
  </si>
  <si>
    <t>zulässige Einleitkonzentrationen für den Einleitungsort</t>
  </si>
  <si>
    <t>Messwert im Gewässer</t>
  </si>
  <si>
    <r>
      <t xml:space="preserve">Alle Daten aus hydrologischen Unterlagen, topografischen Karten und aus der Gewässerbegehung in die orange gefärbten Zellen eingeben. Gelb gefärbte Zellen enthalten Formeln und dürfen nicht verändert werden. Anschließend </t>
    </r>
    <r>
      <rPr>
        <b/>
        <sz val="11"/>
        <color theme="1"/>
        <rFont val="Calibri"/>
        <family val="2"/>
        <scheme val="minor"/>
      </rPr>
      <t>entweder</t>
    </r>
    <r>
      <rPr>
        <sz val="11"/>
        <color theme="1"/>
        <rFont val="Calibri"/>
        <family val="2"/>
        <scheme val="minor"/>
      </rPr>
      <t xml:space="preserve"> die Werte für die Faktoren a, b, c, d, e und f aus den Formeln für die Potenztrendlinien in die entsprechenden Zellen übertragen </t>
    </r>
    <r>
      <rPr>
        <b/>
        <sz val="11"/>
        <color theme="1"/>
        <rFont val="Calibri"/>
        <family val="2"/>
        <scheme val="minor"/>
      </rPr>
      <t>oder</t>
    </r>
    <r>
      <rPr>
        <sz val="11"/>
        <color theme="1"/>
        <rFont val="Calibri"/>
        <family val="2"/>
        <scheme val="minor"/>
      </rPr>
      <t xml:space="preserve"> die Lösung mit dem Solver-Tool (Reiter "Daten") generieren, indem die Summe der Fehlerquadrate einen Minimalwert erreichen soll. a, b, c, d, e und f sind die veränderlichen Variablen. Lösungsmethode "GRG-Nichtlinear" wählen. Unter "Optionen" im Reiter "GRG-Nichtlinear" die Konvergenz verkleinern (4 Nullen ergänzen). Anschließend weiter mit hydrologischem und stofflichem Nachweis.</t>
    </r>
  </si>
  <si>
    <r>
      <t>Q</t>
    </r>
    <r>
      <rPr>
        <sz val="8"/>
        <color theme="1"/>
        <rFont val="Calibri"/>
        <family val="2"/>
        <scheme val="minor"/>
      </rPr>
      <t xml:space="preserve">E,zul </t>
    </r>
    <r>
      <rPr>
        <sz val="11"/>
        <color theme="1"/>
        <rFont val="Calibri"/>
        <family val="2"/>
        <scheme val="minor"/>
      </rPr>
      <t>= H</t>
    </r>
    <r>
      <rPr>
        <sz val="8"/>
        <color theme="1"/>
        <rFont val="Calibri"/>
        <family val="2"/>
        <scheme val="minor"/>
      </rPr>
      <t>q1</t>
    </r>
    <r>
      <rPr>
        <sz val="11"/>
        <color theme="1"/>
        <rFont val="Calibri"/>
        <family val="2"/>
        <scheme val="minor"/>
      </rPr>
      <t xml:space="preserve"> * (A</t>
    </r>
    <r>
      <rPr>
        <sz val="8"/>
        <color theme="1"/>
        <rFont val="Calibri"/>
        <family val="2"/>
        <scheme val="minor"/>
      </rPr>
      <t>b,a,ober</t>
    </r>
    <r>
      <rPr>
        <sz val="11"/>
        <color theme="1"/>
        <rFont val="Calibri"/>
        <family val="2"/>
        <scheme val="minor"/>
      </rPr>
      <t xml:space="preserve"> + A</t>
    </r>
    <r>
      <rPr>
        <sz val="8"/>
        <color theme="1"/>
        <rFont val="Calibri"/>
        <family val="2"/>
        <scheme val="minor"/>
      </rPr>
      <t>b,a)</t>
    </r>
    <r>
      <rPr>
        <sz val="11"/>
        <color theme="1"/>
        <rFont val="Calibri"/>
        <family val="2"/>
        <scheme val="minor"/>
      </rPr>
      <t xml:space="preserve"> + x * H</t>
    </r>
    <r>
      <rPr>
        <sz val="8"/>
        <color theme="1"/>
        <rFont val="Calibri"/>
        <family val="2"/>
        <scheme val="minor"/>
      </rPr>
      <t>q1</t>
    </r>
    <r>
      <rPr>
        <sz val="11"/>
        <color theme="1"/>
        <rFont val="Calibri"/>
        <family val="2"/>
        <scheme val="minor"/>
      </rPr>
      <t xml:space="preserve"> * A</t>
    </r>
    <r>
      <rPr>
        <sz val="8"/>
        <color theme="1"/>
        <rFont val="Calibri"/>
        <family val="2"/>
        <scheme val="minor"/>
      </rPr>
      <t>E0</t>
    </r>
  </si>
  <si>
    <r>
      <t>Q</t>
    </r>
    <r>
      <rPr>
        <sz val="8"/>
        <color theme="1"/>
        <rFont val="Calibri"/>
        <family val="2"/>
        <scheme val="minor"/>
      </rPr>
      <t>G</t>
    </r>
    <r>
      <rPr>
        <sz val="11"/>
        <color theme="1"/>
        <rFont val="Calibri"/>
        <family val="2"/>
        <scheme val="minor"/>
      </rPr>
      <t xml:space="preserve"> = H</t>
    </r>
    <r>
      <rPr>
        <sz val="8"/>
        <color theme="1"/>
        <rFont val="Calibri"/>
        <family val="2"/>
        <scheme val="minor"/>
      </rPr>
      <t>Q1,pnat</t>
    </r>
    <r>
      <rPr>
        <sz val="11"/>
        <color theme="1"/>
        <rFont val="Calibri"/>
        <family val="2"/>
        <scheme val="minor"/>
      </rPr>
      <t xml:space="preserve"> + Q</t>
    </r>
    <r>
      <rPr>
        <sz val="8"/>
        <color theme="1"/>
        <rFont val="Calibri"/>
        <family val="2"/>
        <scheme val="minor"/>
      </rPr>
      <t>E</t>
    </r>
  </si>
  <si>
    <r>
      <t>C</t>
    </r>
    <r>
      <rPr>
        <sz val="8"/>
        <color theme="1"/>
        <rFont val="Calibri"/>
        <family val="2"/>
        <scheme val="minor"/>
      </rPr>
      <t>v</t>
    </r>
    <r>
      <rPr>
        <sz val="11"/>
        <color theme="1"/>
        <rFont val="Calibri"/>
        <family val="2"/>
        <scheme val="minor"/>
      </rPr>
      <t xml:space="preserve"> (P</t>
    </r>
    <r>
      <rPr>
        <sz val="8"/>
        <color theme="1"/>
        <rFont val="Calibri"/>
        <family val="2"/>
        <scheme val="minor"/>
      </rPr>
      <t>ges</t>
    </r>
    <r>
      <rPr>
        <sz val="11"/>
        <color theme="1"/>
        <rFont val="Calibri"/>
        <family val="2"/>
        <scheme val="minor"/>
      </rPr>
      <t>)</t>
    </r>
  </si>
  <si>
    <t>OGewV (guter Zustand)</t>
  </si>
  <si>
    <r>
      <t>C</t>
    </r>
    <r>
      <rPr>
        <sz val="8"/>
        <color theme="1"/>
        <rFont val="Calibri"/>
        <family val="2"/>
        <scheme val="minor"/>
      </rPr>
      <t>E,soll</t>
    </r>
    <r>
      <rPr>
        <sz val="11"/>
        <color theme="1"/>
        <rFont val="Calibri"/>
        <family val="2"/>
        <scheme val="minor"/>
      </rPr>
      <t xml:space="preserve"> = ((Q</t>
    </r>
    <r>
      <rPr>
        <sz val="8"/>
        <color theme="1"/>
        <rFont val="Calibri"/>
        <family val="2"/>
        <scheme val="minor"/>
      </rPr>
      <t xml:space="preserve">ges </t>
    </r>
    <r>
      <rPr>
        <sz val="11"/>
        <color theme="1"/>
        <rFont val="Calibri"/>
        <family val="2"/>
        <scheme val="minor"/>
      </rPr>
      <t>+ Q</t>
    </r>
    <r>
      <rPr>
        <sz val="8"/>
        <color theme="1"/>
        <rFont val="Calibri"/>
        <family val="2"/>
        <scheme val="minor"/>
      </rPr>
      <t>R,a</t>
    </r>
    <r>
      <rPr>
        <sz val="11"/>
        <color theme="1"/>
        <rFont val="Calibri"/>
        <family val="2"/>
        <scheme val="minor"/>
      </rPr>
      <t>) * c</t>
    </r>
    <r>
      <rPr>
        <sz val="8"/>
        <color theme="1"/>
        <rFont val="Calibri"/>
        <family val="2"/>
        <scheme val="minor"/>
      </rPr>
      <t>OW</t>
    </r>
    <r>
      <rPr>
        <sz val="11"/>
        <color theme="1"/>
        <rFont val="Calibri"/>
        <family val="2"/>
        <scheme val="minor"/>
      </rPr>
      <t xml:space="preserve"> - Q</t>
    </r>
    <r>
      <rPr>
        <sz val="8"/>
        <color theme="1"/>
        <rFont val="Calibri"/>
        <family val="2"/>
        <scheme val="minor"/>
      </rPr>
      <t>a</t>
    </r>
    <r>
      <rPr>
        <sz val="11"/>
        <color theme="1"/>
        <rFont val="Calibri"/>
        <family val="2"/>
        <scheme val="minor"/>
      </rPr>
      <t xml:space="preserve"> * c</t>
    </r>
    <r>
      <rPr>
        <sz val="8"/>
        <color theme="1"/>
        <rFont val="Calibri"/>
        <family val="2"/>
        <scheme val="minor"/>
      </rPr>
      <t>V</t>
    </r>
    <r>
      <rPr>
        <sz val="11"/>
        <color theme="1"/>
        <rFont val="Calibri"/>
        <family val="2"/>
        <scheme val="minor"/>
      </rPr>
      <t>)/Q</t>
    </r>
    <r>
      <rPr>
        <sz val="8"/>
        <color theme="1"/>
        <rFont val="Calibri"/>
        <family val="2"/>
        <scheme val="minor"/>
      </rPr>
      <t>R,a</t>
    </r>
  </si>
  <si>
    <r>
      <t>D</t>
    </r>
    <r>
      <rPr>
        <sz val="8"/>
        <color theme="1"/>
        <rFont val="Calibri"/>
        <family val="2"/>
        <scheme val="minor"/>
      </rPr>
      <t>V</t>
    </r>
    <r>
      <rPr>
        <sz val="11"/>
        <color theme="1"/>
        <rFont val="Calibri"/>
        <family val="2"/>
        <scheme val="minor"/>
      </rPr>
      <t xml:space="preserve"> = C</t>
    </r>
    <r>
      <rPr>
        <sz val="8"/>
        <color theme="1"/>
        <rFont val="Calibri"/>
        <family val="2"/>
        <scheme val="minor"/>
      </rPr>
      <t>Sätt,O2,V</t>
    </r>
    <r>
      <rPr>
        <sz val="11"/>
        <color theme="1"/>
        <rFont val="Calibri"/>
        <family val="2"/>
        <scheme val="minor"/>
      </rPr>
      <t xml:space="preserve"> * ((100-D</t>
    </r>
    <r>
      <rPr>
        <sz val="8"/>
        <color theme="1"/>
        <rFont val="Calibri"/>
        <family val="2"/>
        <scheme val="minor"/>
      </rPr>
      <t>V,%</t>
    </r>
    <r>
      <rPr>
        <sz val="11"/>
        <color theme="1"/>
        <rFont val="Calibri"/>
        <family val="2"/>
        <scheme val="minor"/>
      </rPr>
      <t>)/100)</t>
    </r>
  </si>
  <si>
    <t>abgeschätzte Fließzeit bis Ende Einflussbereich</t>
  </si>
  <si>
    <r>
      <t>Fließgeschwindigkeit bei H</t>
    </r>
    <r>
      <rPr>
        <sz val="8"/>
        <color theme="1"/>
        <rFont val="Calibri"/>
        <family val="2"/>
        <scheme val="minor"/>
      </rPr>
      <t>Q1,pnat</t>
    </r>
  </si>
  <si>
    <r>
      <t>v</t>
    </r>
    <r>
      <rPr>
        <sz val="8"/>
        <color theme="1"/>
        <rFont val="Calibri"/>
        <family val="2"/>
        <scheme val="minor"/>
      </rPr>
      <t>G1</t>
    </r>
  </si>
  <si>
    <r>
      <t>t</t>
    </r>
    <r>
      <rPr>
        <sz val="8"/>
        <color theme="1"/>
        <rFont val="Calibri"/>
        <family val="2"/>
        <scheme val="minor"/>
      </rPr>
      <t>f,G1</t>
    </r>
  </si>
  <si>
    <t>zugehörige Niederschlagshöhen nach KOSTRA-Atlas od. lokaler Auswertung mit n = 1</t>
  </si>
  <si>
    <r>
      <t xml:space="preserve">Ist der hydraulischer Nachweis erbracht? </t>
    </r>
    <r>
      <rPr>
        <b/>
        <sz val="11"/>
        <color theme="1"/>
        <rFont val="Calibri"/>
        <family val="2"/>
      </rPr>
      <t>∑</t>
    </r>
    <r>
      <rPr>
        <b/>
        <sz val="9.9"/>
        <color theme="1"/>
        <rFont val="Calibri"/>
        <family val="2"/>
      </rPr>
      <t>Q</t>
    </r>
    <r>
      <rPr>
        <b/>
        <sz val="8"/>
        <color theme="1"/>
        <rFont val="Calibri"/>
        <family val="2"/>
      </rPr>
      <t>E</t>
    </r>
    <r>
      <rPr>
        <b/>
        <sz val="9.9"/>
        <color theme="1"/>
        <rFont val="Calibri"/>
        <family val="2"/>
      </rPr>
      <t xml:space="preserve"> &lt; Q</t>
    </r>
    <r>
      <rPr>
        <b/>
        <sz val="8"/>
        <color theme="1"/>
        <rFont val="Calibri"/>
        <family val="2"/>
      </rPr>
      <t>E,zul</t>
    </r>
    <r>
      <rPr>
        <b/>
        <sz val="9.9"/>
        <color theme="1"/>
        <rFont val="Calibri"/>
        <family val="2"/>
      </rPr>
      <t xml:space="preserve"> ?</t>
    </r>
  </si>
  <si>
    <t>oberstrom gelegene Einleitungen &amp; deren Einzugsgebiete (wenn diese im Einflussbereich liegen)</t>
  </si>
  <si>
    <t>Tabelle 7 im Merkblatt</t>
  </si>
  <si>
    <t>Iteration in 5 Schritten</t>
  </si>
  <si>
    <t>5. Für die Iteration in 5 Schritten werden die nicht tabellierten Dauerstufen, Niederschlagshöhen und Regenabflussspenden interpoliert. Liegt die Dauerstufe in einem der Iterationsschritte unter den ausgewählten Dauerstufen, müssen diese neu angepasst werden.</t>
  </si>
  <si>
    <t>Info: Der maßgebliche Einleitungsabfluss berechnet sich im vereinfachten Nachweisverfahren für eine Regenspende der Häufigkeit 1 und einer Dauer, die der längsten Fließzeit im Gewässer entspricht.</t>
  </si>
  <si>
    <t>6. Gilt der Nachweis nicht als erbracht, müssen entsprechende Rückhaltemaßnahmen ergriffen werden, die die Einleitung in das Gewässer drosseln.</t>
  </si>
  <si>
    <r>
      <t>MAX(L</t>
    </r>
    <r>
      <rPr>
        <sz val="8"/>
        <color theme="1"/>
        <rFont val="Calibri"/>
        <family val="2"/>
        <scheme val="minor"/>
      </rPr>
      <t>G</t>
    </r>
    <r>
      <rPr>
        <sz val="11"/>
        <color theme="1"/>
        <rFont val="Calibri"/>
        <family val="2"/>
        <scheme val="minor"/>
      </rPr>
      <t>;L</t>
    </r>
    <r>
      <rPr>
        <sz val="8"/>
        <color theme="1"/>
        <rFont val="Calibri"/>
        <family val="2"/>
        <scheme val="minor"/>
      </rPr>
      <t>G,erm.</t>
    </r>
    <r>
      <rPr>
        <sz val="11"/>
        <color theme="1"/>
        <rFont val="Calibri"/>
        <family val="2"/>
        <scheme val="minor"/>
      </rPr>
      <t>)</t>
    </r>
  </si>
  <si>
    <t>korrigierte mittlere Fließtiefe</t>
  </si>
  <si>
    <t>oberstrom gelegene Einleitungen &amp; deren Einzugsgebiete (auch außerhalb des direkten Einflussbereichs)</t>
  </si>
  <si>
    <r>
      <t>Q</t>
    </r>
    <r>
      <rPr>
        <sz val="8"/>
        <color theme="1"/>
        <rFont val="Calibri"/>
        <family val="2"/>
        <scheme val="minor"/>
      </rPr>
      <t>E,ober</t>
    </r>
  </si>
  <si>
    <r>
      <t>Q</t>
    </r>
    <r>
      <rPr>
        <sz val="8"/>
        <color theme="1"/>
        <rFont val="Calibri"/>
        <family val="2"/>
        <scheme val="minor"/>
      </rPr>
      <t>E,EZG</t>
    </r>
  </si>
  <si>
    <t>Einleitungsabfluss gesamt</t>
  </si>
  <si>
    <t>Einleitungsabfluss oberstromgelegener Einleitungen</t>
  </si>
  <si>
    <t>Einleitungsabfluss des direkten Einzugsgebiets</t>
  </si>
  <si>
    <r>
      <t>Q</t>
    </r>
    <r>
      <rPr>
        <sz val="8"/>
        <color theme="1"/>
        <rFont val="Calibri"/>
        <family val="2"/>
        <scheme val="minor"/>
      </rPr>
      <t>E,EZG</t>
    </r>
    <r>
      <rPr>
        <sz val="11"/>
        <color theme="1"/>
        <rFont val="Calibri"/>
        <family val="2"/>
        <scheme val="minor"/>
      </rPr>
      <t xml:space="preserve"> = A</t>
    </r>
    <r>
      <rPr>
        <sz val="8"/>
        <color theme="1"/>
        <rFont val="Calibri"/>
        <family val="2"/>
        <scheme val="minor"/>
      </rPr>
      <t>b,a</t>
    </r>
    <r>
      <rPr>
        <sz val="11"/>
        <color theme="1"/>
        <rFont val="Calibri"/>
        <family val="2"/>
        <scheme val="minor"/>
      </rPr>
      <t xml:space="preserve"> * f</t>
    </r>
    <r>
      <rPr>
        <sz val="8"/>
        <color theme="1"/>
        <rFont val="Calibri"/>
        <family val="2"/>
        <scheme val="minor"/>
      </rPr>
      <t>D</t>
    </r>
    <r>
      <rPr>
        <sz val="11"/>
        <color theme="1"/>
        <rFont val="Calibri"/>
        <family val="2"/>
        <scheme val="minor"/>
      </rPr>
      <t xml:space="preserve"> * r</t>
    </r>
    <r>
      <rPr>
        <sz val="8"/>
        <color theme="1"/>
        <rFont val="Calibri"/>
        <family val="2"/>
        <scheme val="minor"/>
      </rPr>
      <t>t,f</t>
    </r>
    <r>
      <rPr>
        <sz val="11"/>
        <color theme="1"/>
        <rFont val="Calibri"/>
        <family val="2"/>
        <scheme val="minor"/>
      </rPr>
      <t/>
    </r>
  </si>
  <si>
    <r>
      <t>Q</t>
    </r>
    <r>
      <rPr>
        <sz val="8"/>
        <color theme="1"/>
        <rFont val="Calibri"/>
        <family val="2"/>
        <scheme val="minor"/>
      </rPr>
      <t>E,ober</t>
    </r>
    <r>
      <rPr>
        <sz val="11"/>
        <color theme="1"/>
        <rFont val="Calibri"/>
        <family val="2"/>
        <scheme val="minor"/>
      </rPr>
      <t xml:space="preserve"> = A</t>
    </r>
    <r>
      <rPr>
        <sz val="8"/>
        <color theme="1"/>
        <rFont val="Calibri"/>
        <family val="2"/>
        <scheme val="minor"/>
      </rPr>
      <t>b,a,ober</t>
    </r>
    <r>
      <rPr>
        <sz val="11"/>
        <color theme="1"/>
        <rFont val="Calibri"/>
        <family val="2"/>
        <scheme val="minor"/>
      </rPr>
      <t xml:space="preserve"> * f</t>
    </r>
    <r>
      <rPr>
        <sz val="8"/>
        <color theme="1"/>
        <rFont val="Calibri"/>
        <family val="2"/>
        <scheme val="minor"/>
      </rPr>
      <t>D</t>
    </r>
    <r>
      <rPr>
        <sz val="11"/>
        <color theme="1"/>
        <rFont val="Calibri"/>
        <family val="2"/>
        <scheme val="minor"/>
      </rPr>
      <t xml:space="preserve"> * r</t>
    </r>
    <r>
      <rPr>
        <sz val="8"/>
        <color theme="1"/>
        <rFont val="Calibri"/>
        <family val="2"/>
        <scheme val="minor"/>
      </rPr>
      <t>t,f</t>
    </r>
    <r>
      <rPr>
        <sz val="11"/>
        <color theme="1"/>
        <rFont val="Calibri"/>
        <family val="2"/>
        <scheme val="minor"/>
      </rPr>
      <t/>
    </r>
  </si>
  <si>
    <r>
      <t>∑Q</t>
    </r>
    <r>
      <rPr>
        <sz val="8"/>
        <color theme="1"/>
        <rFont val="Calibri"/>
        <family val="2"/>
        <scheme val="minor"/>
      </rPr>
      <t>E</t>
    </r>
    <r>
      <rPr>
        <sz val="11"/>
        <color theme="1"/>
        <rFont val="Calibri"/>
        <family val="2"/>
        <scheme val="minor"/>
      </rPr>
      <t xml:space="preserve"> = Q</t>
    </r>
    <r>
      <rPr>
        <sz val="8"/>
        <color theme="1"/>
        <rFont val="Calibri"/>
        <family val="2"/>
        <scheme val="minor"/>
      </rPr>
      <t>E,EZG</t>
    </r>
    <r>
      <rPr>
        <sz val="11"/>
        <color theme="1"/>
        <rFont val="Calibri"/>
        <family val="2"/>
        <scheme val="minor"/>
      </rPr>
      <t xml:space="preserve"> + Q</t>
    </r>
    <r>
      <rPr>
        <sz val="8"/>
        <color theme="1"/>
        <rFont val="Calibri"/>
        <family val="2"/>
        <scheme val="minor"/>
      </rPr>
      <t>E,ober</t>
    </r>
  </si>
  <si>
    <t>Auswahl von 2 Dauerstufen nach KOSTRA-Atlas zw. denen abgeschätze Fließzeit liegt</t>
  </si>
  <si>
    <r>
      <t>4. Zwei Dauerstufen nach KOSTRA-Atlas od. lokaler Auswertung wählen, zwischen denen die abgeschätze Fließzeit bei HQ</t>
    </r>
    <r>
      <rPr>
        <sz val="8"/>
        <color theme="1"/>
        <rFont val="Calibri"/>
        <family val="2"/>
        <scheme val="minor"/>
      </rPr>
      <t>1,pnat</t>
    </r>
    <r>
      <rPr>
        <sz val="11"/>
        <color theme="1"/>
        <rFont val="Calibri"/>
        <family val="2"/>
        <scheme val="minor"/>
      </rPr>
      <t xml:space="preserve"> bis zum Ende des Einflussbereiches liegt, sowie die zugehörigen Niederschlagshöhen.</t>
    </r>
  </si>
  <si>
    <r>
      <t>k</t>
    </r>
    <r>
      <rPr>
        <sz val="8"/>
        <rFont val="Calibri"/>
        <family val="2"/>
        <scheme val="minor"/>
      </rPr>
      <t>2</t>
    </r>
  </si>
  <si>
    <t>Im Folgenden werden die Bedienung dieser Excel-Tabelle zur immissionsorientierten Bewertung von Gewässerbenutzungen und notwendige Adaptionen auf den Fachbereich LWB und BGA erklärt. Adaptionen waren notwendig, da die ursprünglichen Anforderungen des Merkblatts DWA-M 102-3 / BWK-M 3-3 auf die Siedlungswasserwirtschaft ausgelegt sind. Detaillierte Informationen und Hintergründe der Berechnungsvorgänge sind direkt DWA-M 102-3 / BWK-M 3-3 zu entnehmen.</t>
  </si>
  <si>
    <t>Erläuterungen</t>
  </si>
  <si>
    <r>
      <t>Mit den erhobenen Daten werden durch Iteration anschließend Teilfüllungszustände berechnet. Im Ergebnis wird in zwei Grafiken die Beziehung zwischen der Fließgeschwindigkeit v</t>
    </r>
    <r>
      <rPr>
        <vertAlign val="subscript"/>
        <sz val="12"/>
        <color theme="1"/>
        <rFont val="Arial Narrow"/>
        <family val="2"/>
      </rPr>
      <t>G</t>
    </r>
    <r>
      <rPr>
        <sz val="12"/>
        <color theme="1"/>
        <rFont val="Arial Narrow"/>
        <family val="2"/>
      </rPr>
      <t xml:space="preserve"> und dem Gewässerabfluss Q</t>
    </r>
    <r>
      <rPr>
        <vertAlign val="subscript"/>
        <sz val="12"/>
        <color theme="1"/>
        <rFont val="Arial Narrow"/>
        <family val="2"/>
      </rPr>
      <t>G</t>
    </r>
    <r>
      <rPr>
        <sz val="12"/>
        <color theme="1"/>
        <rFont val="Arial Narrow"/>
        <family val="2"/>
      </rPr>
      <t xml:space="preserve"> und in einer Grafik die Beziehung zwischen mittlerer Fließtiefe h</t>
    </r>
    <r>
      <rPr>
        <vertAlign val="subscript"/>
        <sz val="12"/>
        <color theme="1"/>
        <rFont val="Arial Narrow"/>
        <family val="2"/>
      </rPr>
      <t>m</t>
    </r>
    <r>
      <rPr>
        <sz val="12"/>
        <color theme="1"/>
        <rFont val="Arial Narrow"/>
        <family val="2"/>
      </rPr>
      <t xml:space="preserve"> und dem Gewässerabfluss Q</t>
    </r>
    <r>
      <rPr>
        <vertAlign val="subscript"/>
        <sz val="12"/>
        <color theme="1"/>
        <rFont val="Arial Narrow"/>
        <family val="2"/>
      </rPr>
      <t>G</t>
    </r>
    <r>
      <rPr>
        <sz val="12"/>
        <color theme="1"/>
        <rFont val="Arial Narrow"/>
        <family val="2"/>
      </rPr>
      <t xml:space="preserve"> erzeugt. Zusätzlich wird die jeweilige Beziehung mit einer Potenztrendlinie angenähert, sodass die Parameter der Potenzgleichung für die weiteren Berechnungsschritte in den folgenden Excel-Tabellenblättern genutzt werden können. Da für den hydrologischen Nachweis hohe Gewässerabflüsse ausschlaggebend sind und für den stofflichen Nachweis hingegen niedrige Gewässerabflüsse, werden unterschiedliche Grafiken und somit verschiedene angenäherte Potenztrendlinien generiert. Die Parameter der Potenzgleichung können entweder direkt der generierten Formel entnommen werden oder mittels Solver-Tool automatisch ermittelt werden. Die Vorgehensweise mit Solver-Tool ist dem Excel-Blatt zu entnehmen.</t>
    </r>
  </si>
  <si>
    <t>Hydrologischer Nachweis</t>
  </si>
  <si>
    <r>
      <t>Der hydrologische Nachweis wird erbracht, indem die eingeleiteten Abflüsse des versiegelten Einzugsgebiets mit dem potentiell naturnahen Gewässerabfluss HQ</t>
    </r>
    <r>
      <rPr>
        <vertAlign val="subscript"/>
        <sz val="12"/>
        <color theme="1"/>
        <rFont val="Arial Narrow"/>
        <family val="2"/>
      </rPr>
      <t>1,pnat</t>
    </r>
    <r>
      <rPr>
        <sz val="12"/>
        <color theme="1"/>
        <rFont val="Arial Narrow"/>
        <family val="2"/>
      </rPr>
      <t xml:space="preserve"> rechnerisch überlagert werden. Dabei ist davon auszugehen, dass das Ziel einer Ansiedlung bzw. Wiederbesiedlung von gewässertypspezifischen Arten erreicht werden kann, sofern der potentiell natürliche jährliche Gewässerabfluss HQ</t>
    </r>
    <r>
      <rPr>
        <vertAlign val="subscript"/>
        <sz val="12"/>
        <color theme="1"/>
        <rFont val="Arial Narrow"/>
        <family val="2"/>
      </rPr>
      <t>1,pnat</t>
    </r>
    <r>
      <rPr>
        <sz val="12"/>
        <color theme="1"/>
        <rFont val="Arial Narrow"/>
        <family val="2"/>
      </rPr>
      <t xml:space="preserve"> durch die zusätzliche Einleitung nicht stärker erhöht wird, als auf den bisherigen, natürlichen zweijährigen Hochwasserabfluss HQ</t>
    </r>
    <r>
      <rPr>
        <vertAlign val="subscript"/>
        <sz val="12"/>
        <color theme="1"/>
        <rFont val="Arial Narrow"/>
        <family val="2"/>
      </rPr>
      <t>2,pnat</t>
    </r>
    <r>
      <rPr>
        <sz val="12"/>
        <color theme="1"/>
        <rFont val="Arial Narrow"/>
        <family val="2"/>
      </rPr>
      <t>. Daraus lässt sich dann ein zulässiger kritischer jährlicher Einleitungsabfluss Q</t>
    </r>
    <r>
      <rPr>
        <vertAlign val="subscript"/>
        <sz val="12"/>
        <color theme="1"/>
        <rFont val="Arial Narrow"/>
        <family val="2"/>
      </rPr>
      <t>E,zul.</t>
    </r>
    <r>
      <rPr>
        <sz val="12"/>
        <color theme="1"/>
        <rFont val="Arial Narrow"/>
        <family val="2"/>
      </rPr>
      <t xml:space="preserve"> bestimmen.</t>
    </r>
  </si>
  <si>
    <t>Für den hydrologischen Nachweis sind weitere Parameter mittels Gewässerbegehungen sowie aus hydrologischen Unterlagen zu bestimmen. Mittels Gelände- bzw. Lagepläne sind die befestigten Flächen des LWB bzw. der BGA zu ermitteln, ggf. sind oberstromgelegene Einleitungen mit deren befestigten Flächen und ggf. Drosselabflüssen ins Gewässer zu berücksichtigen, sofern diese Einleitungen im gleichen Einflussbereich liegen. Dies ist der Fall, wenn oberstromgelegene Einleitungen geringer entfernt liegen, als der ermittelte maximale Einflussbereich nach Tabelle 7 (im Excel-Blatt enthalten).</t>
  </si>
  <si>
    <r>
      <t>Stofflicher Nachweis I (O</t>
    </r>
    <r>
      <rPr>
        <b/>
        <sz val="9"/>
        <color theme="1"/>
        <rFont val="Arial Narrow"/>
        <family val="2"/>
      </rPr>
      <t>2</t>
    </r>
    <r>
      <rPr>
        <b/>
        <sz val="12"/>
        <color theme="1"/>
        <rFont val="Arial Narrow"/>
        <family val="2"/>
      </rPr>
      <t xml:space="preserve"> und NH</t>
    </r>
    <r>
      <rPr>
        <b/>
        <sz val="9"/>
        <color theme="1"/>
        <rFont val="Arial Narrow"/>
        <family val="2"/>
      </rPr>
      <t>3</t>
    </r>
    <r>
      <rPr>
        <b/>
        <sz val="12"/>
        <color theme="1"/>
        <rFont val="Arial Narrow"/>
        <family val="2"/>
      </rPr>
      <t>-N)</t>
    </r>
  </si>
  <si>
    <t xml:space="preserve">Der stoffliche Nachweis hinsichtlich des Sauerstoffhaushalts und der Ammoniak-Toxizität wird durch Mischrechnung bei einem aus stofflicher Sicht kritischen Bereich von Abflüssen im Gewässer erbracht. </t>
  </si>
  <si>
    <r>
      <t>Dafür werden Einleitungsabflüsse durch ein Regenabflussspektrum berücksichtigt bei zeitgleichen Niedrigwasserabflüssen im Gewässer. Der Sauerstoffgehalt im Gewässer darf dabei den Prüfwert von 5 mg/l O</t>
    </r>
    <r>
      <rPr>
        <vertAlign val="subscript"/>
        <sz val="12"/>
        <color theme="1"/>
        <rFont val="Arial Narrow"/>
        <family val="2"/>
      </rPr>
      <t>2</t>
    </r>
    <r>
      <rPr>
        <sz val="12"/>
        <color theme="1"/>
        <rFont val="Arial Narrow"/>
        <family val="2"/>
      </rPr>
      <t xml:space="preserve"> nicht </t>
    </r>
    <r>
      <rPr>
        <b/>
        <sz val="12"/>
        <color theme="1"/>
        <rFont val="Arial Narrow"/>
        <family val="2"/>
      </rPr>
      <t>unter</t>
    </r>
    <r>
      <rPr>
        <sz val="12"/>
        <color theme="1"/>
        <rFont val="Arial Narrow"/>
        <family val="2"/>
      </rPr>
      <t>schreiten und der Ammoniak-Stickstoffgehalt im Gewässer den Prüfwert von 0,1 mg/l NH</t>
    </r>
    <r>
      <rPr>
        <vertAlign val="subscript"/>
        <sz val="12"/>
        <color theme="1"/>
        <rFont val="Arial Narrow"/>
        <family val="2"/>
      </rPr>
      <t>3</t>
    </r>
    <r>
      <rPr>
        <sz val="12"/>
        <color theme="1"/>
        <rFont val="Arial Narrow"/>
        <family val="2"/>
      </rPr>
      <t xml:space="preserve">-N nicht </t>
    </r>
    <r>
      <rPr>
        <b/>
        <sz val="12"/>
        <color theme="1"/>
        <rFont val="Arial Narrow"/>
        <family val="2"/>
      </rPr>
      <t>über</t>
    </r>
    <r>
      <rPr>
        <sz val="12"/>
        <color theme="1"/>
        <rFont val="Arial Narrow"/>
        <family val="2"/>
      </rPr>
      <t xml:space="preserve">schreiten. </t>
    </r>
  </si>
  <si>
    <t>Vorgenommene Änderungen zum Merkblatt</t>
  </si>
  <si>
    <r>
      <rPr>
        <b/>
        <i/>
        <sz val="12"/>
        <color theme="1"/>
        <rFont val="Arial Narrow"/>
        <family val="2"/>
      </rPr>
      <t xml:space="preserve">Sauerstoffdefizit D: </t>
    </r>
    <r>
      <rPr>
        <i/>
        <sz val="12"/>
        <color theme="1"/>
        <rFont val="Arial Narrow"/>
        <family val="2"/>
      </rPr>
      <t>Für die Berechnung des Anfangsdefizits D</t>
    </r>
    <r>
      <rPr>
        <i/>
        <sz val="8"/>
        <color theme="1"/>
        <rFont val="Arial Narrow"/>
        <family val="2"/>
      </rPr>
      <t>0,O2</t>
    </r>
    <r>
      <rPr>
        <i/>
        <sz val="12"/>
        <color theme="1"/>
        <rFont val="Arial Narrow"/>
        <family val="2"/>
      </rPr>
      <t xml:space="preserve"> am Beginn einer Berechnungsstrecke ist es notwendig, Sauerstoffdefizite aus zufließenden Gewässerabschnitten, das Vorbelastungsdefizit des aktuellen Gewässerabschnitts und das Sauerstoffdefizit des Einleitungsabflusses zu ermitteln. In der Formel A.47 werden die zuvor genannten Sauerstoffdefizite mit unterschiedlichen Einheiten (% und mg/l) angegeben, was für die Berechnung keinen Sinn ergibt. Das Sauerstoffdefizit in % lässt sich jedoch mittels nebenstehender Formel in mg/l umrechnen, weshalb im Excel-Tabellenblatt die Sauerstoffdefizite in % eingetragen werden können und im Anschluss eine Umrechnung in mg/l für die darauffolgenden Berechnungsschritte erfolgt. </t>
    </r>
  </si>
  <si>
    <r>
      <t>Stofflicher Nachweis II (P</t>
    </r>
    <r>
      <rPr>
        <b/>
        <sz val="9"/>
        <color theme="1"/>
        <rFont val="Arial Narrow"/>
        <family val="2"/>
      </rPr>
      <t>ges</t>
    </r>
    <r>
      <rPr>
        <b/>
        <sz val="12"/>
        <color theme="1"/>
        <rFont val="Arial Narrow"/>
        <family val="2"/>
      </rPr>
      <t>)</t>
    </r>
  </si>
  <si>
    <t>Ein stofflicher Nachweis bzgl. Phosphor wird im Merkblatt DWA-M 102-3 / BWK-M 3-3 nicht gefordert, ist aber für den Bereich Niederschlagswasser auf LWB und BGA aufgrund der zu erwartenden hohen Belastungen von Bedeutung. Aus diesem Grund wurde zusätzlich ein Nachweisverfahren für den akkumulativ wirkenden Parameter Phosphor entwickelt.</t>
  </si>
  <si>
    <r>
      <t>Das Verfahren beruht auf einer Mischrechnung mit Jahresmittelwerten des Abflusses, der P-Konzentration im Gewässer und des Niederschlags. Der Gesamtabfluss im Gewässer setzt sich im Einleitungsfall aus dem Jahresabfluss des Gewässers und dem Niederschlagswasserabfluss der befestigten Flächen des LWB bzw. der BGA zusammen. Abzüglich der Vorbelastungsfracht ergibt sich eine zulässige Einleitungsfracht, die dividiert durch den Niederschlagswasseranfall die zulässige Einleitkonzentration ergibt. Liegt die P-Konzentration im Gewässer (Vorbelastungskonzentration) über dem Orientierungswert c</t>
    </r>
    <r>
      <rPr>
        <vertAlign val="subscript"/>
        <sz val="12"/>
        <color theme="1"/>
        <rFont val="Arial Narrow"/>
        <family val="2"/>
      </rPr>
      <t>OW</t>
    </r>
    <r>
      <rPr>
        <sz val="12"/>
        <color theme="1"/>
        <rFont val="Arial Narrow"/>
        <family val="2"/>
      </rPr>
      <t xml:space="preserve"> für den guten Zustand gemäß OGewV, ist c</t>
    </r>
    <r>
      <rPr>
        <vertAlign val="subscript"/>
        <sz val="12"/>
        <color theme="1"/>
        <rFont val="Arial Narrow"/>
        <family val="2"/>
      </rPr>
      <t>OW</t>
    </r>
    <r>
      <rPr>
        <sz val="12"/>
        <color theme="1"/>
        <rFont val="Arial Narrow"/>
        <family val="2"/>
      </rPr>
      <t xml:space="preserve"> als zulässige Einleitkonzentration anzusetzen.</t>
    </r>
  </si>
  <si>
    <r>
      <t xml:space="preserve">Übernahme aus anderen Projekten (od. Annahme </t>
    </r>
    <r>
      <rPr>
        <sz val="11"/>
        <color theme="1"/>
        <rFont val="Calibri"/>
        <family val="2"/>
      </rPr>
      <t>Ø-</t>
    </r>
    <r>
      <rPr>
        <sz val="11"/>
        <color theme="1"/>
        <rFont val="Calibri"/>
        <family val="2"/>
        <scheme val="minor"/>
      </rPr>
      <t>Konz. im Regenabfluss)</t>
    </r>
  </si>
  <si>
    <t xml:space="preserve">Alle noch fehlenden Grunddaten für das Gewässer aus hydrologischen Unterlagen und aus der Gewässerbegehung eingeben. OGewV nutzen für Vorbelastungswerte, Sauerstoffvorbelastungsdefizit abschätzen. Fehlende Daten zum Einzugsgebiet ergänzen. Schmutzkonzentrationen und pH-Wert in der Einleitung abschätzen, Sauerstoffdefizit der Einleitung mit Hilfe von Tabelle A.1 bestimmen. Wenn unterschiedlich stark verschmutzte Flächen getrennt abgeleitet werden, in den Angaben eine Unterscheidung vornehmen. Wenn vorhanden, Angaben zu oberstrom gelegenen Einleitungen ergänzen, sowie Angaben zu zufließenden Gewässerabschnitten im Nachweisraum. Um die Immissionsbetrachtung für nur einen Niederschlagswasserstrom zu machen, kurzzeitig eine der Flächen auf 0 ha setzen. </t>
  </si>
  <si>
    <t>Die für das Gewässer "schlimmste" Situation ist MNQ ohne Regenereignis in Verbindung mit der Einleitung von behandeltem Niederschlagswasser. Dieser Zustand wird durch die Regenabflussspende von 0 l/(s*ha) im Berechnungsgang und in den unten gezeigten Grafiken dargestellt.</t>
  </si>
  <si>
    <t>Um die Gewässerhydraulik darstellen zu können, ist es im vereinfachten Nachweisverfahren notwendig, das Gewässerprofil als teilgefülltes Trapezgerinne abzubilden.  Dafür sind Gewässergrunddaten hauptsächlich durch Gewässerbegehungen zu ermitteln. Hinweise zur Gewässerbegehung sind Nr. 5.9 des DWA‑M 102-3 / BWK-M 3-3 zu entnehmen.</t>
  </si>
  <si>
    <r>
      <t>Der für eine Einleitungsstelle maßgebliche Einleitungsabfluss Q</t>
    </r>
    <r>
      <rPr>
        <vertAlign val="subscript"/>
        <sz val="12"/>
        <color theme="1"/>
        <rFont val="Arial Narrow"/>
        <family val="2"/>
      </rPr>
      <t>E</t>
    </r>
    <r>
      <rPr>
        <sz val="12"/>
        <color theme="1"/>
        <rFont val="Arial Narrow"/>
        <family val="2"/>
      </rPr>
      <t>, welcher mit dem kritischen jährlichen Einleitungsabfluss Q</t>
    </r>
    <r>
      <rPr>
        <vertAlign val="subscript"/>
        <sz val="12"/>
        <color theme="1"/>
        <rFont val="Arial Narrow"/>
        <family val="2"/>
      </rPr>
      <t>E,zul.</t>
    </r>
    <r>
      <rPr>
        <sz val="12"/>
        <color theme="1"/>
        <rFont val="Arial Narrow"/>
        <family val="2"/>
      </rPr>
      <t xml:space="preserve"> verglichen werden muss, wird nach Nr. 7.5.2.2 DWA-M 102-3 / BWK-M 3-3 iterativ für die Regenspende einer Dauer, die der längsten Fließzeit t</t>
    </r>
    <r>
      <rPr>
        <vertAlign val="subscript"/>
        <sz val="12"/>
        <color theme="1"/>
        <rFont val="Arial Narrow"/>
        <family val="2"/>
      </rPr>
      <t>f</t>
    </r>
    <r>
      <rPr>
        <sz val="12"/>
        <color theme="1"/>
        <rFont val="Arial Narrow"/>
        <family val="2"/>
      </rPr>
      <t xml:space="preserve"> entspricht, ermittelt. Die längste Fließzeit t</t>
    </r>
    <r>
      <rPr>
        <vertAlign val="subscript"/>
        <sz val="12"/>
        <color theme="1"/>
        <rFont val="Arial Narrow"/>
        <family val="2"/>
      </rPr>
      <t>f</t>
    </r>
    <r>
      <rPr>
        <sz val="12"/>
        <color theme="1"/>
        <rFont val="Arial Narrow"/>
        <family val="2"/>
      </rPr>
      <t xml:space="preserve"> setzt sich zusammen aus der längsten Fließzeit im Kanalisationsnetz bis zur Einleitstelle t</t>
    </r>
    <r>
      <rPr>
        <vertAlign val="subscript"/>
        <sz val="12"/>
        <color theme="1"/>
        <rFont val="Arial Narrow"/>
        <family val="2"/>
      </rPr>
      <t>f,K</t>
    </r>
    <r>
      <rPr>
        <sz val="12"/>
        <color theme="1"/>
        <rFont val="Arial Narrow"/>
        <family val="2"/>
      </rPr>
      <t xml:space="preserve"> und der Fließzeit des resultierenden Gewässerabflusses im Einleitungsfall t</t>
    </r>
    <r>
      <rPr>
        <vertAlign val="subscript"/>
        <sz val="12"/>
        <color theme="1"/>
        <rFont val="Arial Narrow"/>
        <family val="2"/>
      </rPr>
      <t>f,G</t>
    </r>
    <r>
      <rPr>
        <sz val="12"/>
        <color theme="1"/>
        <rFont val="Arial Narrow"/>
        <family val="2"/>
      </rPr>
      <t xml:space="preserve"> (Anhang A.2 Formel A.10 DWA‑M 102-3 / BWK-M 3-3). Die längste Fließzeit im Kanalisationsnetz bis zur Einleitungsstelle t</t>
    </r>
    <r>
      <rPr>
        <vertAlign val="subscript"/>
        <sz val="12"/>
        <color theme="1"/>
        <rFont val="Arial Narrow"/>
        <family val="2"/>
      </rPr>
      <t xml:space="preserve">f,K </t>
    </r>
    <r>
      <rPr>
        <sz val="12"/>
        <color theme="1"/>
        <rFont val="Arial Narrow"/>
        <family val="2"/>
      </rPr>
      <t>kann für den Anwendungsfall LWB und BGA aufgrund der geringen Einzugsgebietsgröße vernachlässigt werden. Die iterative Berechnung der Fließzeit des resultierenden Gewässerabflusses im Einleitungsfall t</t>
    </r>
    <r>
      <rPr>
        <vertAlign val="subscript"/>
        <sz val="12"/>
        <color theme="1"/>
        <rFont val="Arial Narrow"/>
        <family val="2"/>
      </rPr>
      <t>f,G</t>
    </r>
    <r>
      <rPr>
        <sz val="12"/>
        <color theme="1"/>
        <rFont val="Arial Narrow"/>
        <family val="2"/>
      </rPr>
      <t xml:space="preserve"> startet mit der Ermittlung einer Fließzeit bei HQ</t>
    </r>
    <r>
      <rPr>
        <vertAlign val="subscript"/>
        <sz val="12"/>
        <color theme="1"/>
        <rFont val="Arial Narrow"/>
        <family val="2"/>
      </rPr>
      <t>1,pnat</t>
    </r>
    <r>
      <rPr>
        <sz val="12"/>
        <color theme="1"/>
        <rFont val="Arial Narrow"/>
        <family val="2"/>
      </rPr>
      <t xml:space="preserve"> im maximalen Einflussbereich. Für diese Dauerstufe, welche der Fließzeit gleichzusetzen ist, wird nach KOSTRA-Atlas die zugehörige Niederschlagshöhe bzw. Regenabflussspende ausgewählt, bzw. für nicht tabellierte Werte gradlinig interpoliert. Damit kann dann für den Einleitungsfall ein Gewässerabfluss ermittelt werden, zu welchem eine neue Fließzeit im maximalen Einflussbereich berechnet werden kann. Im Excel-Blatt ist eine Iteration in fünf Schritten vorgesehen. Als Ergebnis wird der im letzten Schritt ermittelte Einleitungsabfluss Q</t>
    </r>
    <r>
      <rPr>
        <vertAlign val="subscript"/>
        <sz val="12"/>
        <color theme="1"/>
        <rFont val="Arial Narrow"/>
        <family val="2"/>
      </rPr>
      <t>E</t>
    </r>
    <r>
      <rPr>
        <sz val="12"/>
        <color theme="1"/>
        <rFont val="Arial Narrow"/>
        <family val="2"/>
      </rPr>
      <t xml:space="preserve"> mit dem zulässigen Einleitungsabfluss Q</t>
    </r>
    <r>
      <rPr>
        <vertAlign val="subscript"/>
        <sz val="12"/>
        <color theme="1"/>
        <rFont val="Arial Narrow"/>
        <family val="2"/>
      </rPr>
      <t>E,zul.</t>
    </r>
    <r>
      <rPr>
        <sz val="12"/>
        <color theme="1"/>
        <rFont val="Arial Narrow"/>
        <family val="2"/>
      </rPr>
      <t xml:space="preserve"> vergleichen und ausgegeben, ob der hydrologische Nachweis erbracht ist oder nicht. Ist der Nachweis nicht erbracht, muss die Summe der Abläufe durch gezielte Rückhaltemaßnahmen auf den zulässigen Einleitungsabfluss gedrosselt werden.</t>
    </r>
  </si>
  <si>
    <r>
      <t xml:space="preserve">Auch hier müssen zunächst einige Gewässergrunddaten sowie Informationen an der Einleitstelle, oberstromgelegener Einleitungen und zufließender Gewässerabschnitte im Nachweisraum ergänzt werden. Das Nachweisverfahren beruht auf vielen komplexen Berechnungsschritten, die ausführlich im Merkblatt DWA-M 102-3 / BWK-M 3-3 erläutert sind. Das Excel-Blatt generiert als Ergebnis zwei Diagramme, die in Abhängigkeit unterschiedlicher Regenabflussspenden den berechneten Sauerstoffgehalt und die berechnete Ammoniak-Stickstoffkonzentration im Gewässer wiedergeben. Zusätzlich sind die oben genannten Prüfwerte der kritischen Konzentrationen als rote Linie dargestellt. Den Grafiken kann entnommen werden, ob der Prüfwert des Sauerstoffgehalts </t>
    </r>
    <r>
      <rPr>
        <b/>
        <sz val="12"/>
        <color theme="1"/>
        <rFont val="Arial Narrow"/>
        <family val="2"/>
      </rPr>
      <t>unter</t>
    </r>
    <r>
      <rPr>
        <sz val="12"/>
        <color theme="1"/>
        <rFont val="Arial Narrow"/>
        <family val="2"/>
      </rPr>
      <t xml:space="preserve">schritten und der Prüfwert der Ammoniak-Stickstoffkonzentration </t>
    </r>
    <r>
      <rPr>
        <b/>
        <sz val="12"/>
        <color theme="1"/>
        <rFont val="Arial Narrow"/>
        <family val="2"/>
      </rPr>
      <t>über</t>
    </r>
    <r>
      <rPr>
        <sz val="12"/>
        <color theme="1"/>
        <rFont val="Arial Narrow"/>
        <family val="2"/>
      </rPr>
      <t>schritten werden. Treten diese Fälle nicht ein, gilt der stoffliche Nachweis als erbracht. Wird nur ein Kriterium nicht erfüllt, ist eine Niederschlagswasserbehandlung erforderlich.</t>
    </r>
  </si>
  <si>
    <t>Im Merkblatt DWA-M 102-3 / BWK-M 3-3 sind Standardvorgaben für das Sauerstoffdefizit von Einleitungsabflüssen (in Prozent) enthalten, sowie Vorgaben für das Vorbelastungsdefizit für hoch und mäßig eutrophe Gewässer (in Prozent). Hier ist jedoch ein Fehler enthalten, da für hoch eutrophe Gewässer ein Vorbelastungsdefizit von 0 % angegeben wird. In dem Excel-Tabellenblatt wurde diese Angabe auf 40 % angepasst. (Hinweis: Das Vorbelastungsdefizit für hoch eutrophe Gewässer mit 40 % wurde auf Grundlage der Angabe im Merkblatt für ein Vorbelastungsdefizit von 20 % für mäßig eutrophe Gewässer abgeschätzt.)</t>
  </si>
  <si>
    <r>
      <rPr>
        <b/>
        <i/>
        <sz val="12"/>
        <color theme="1"/>
        <rFont val="Arial Narrow"/>
        <family val="2"/>
      </rPr>
      <t>Physikalische Wiederbelüftungsrate k</t>
    </r>
    <r>
      <rPr>
        <b/>
        <i/>
        <sz val="9"/>
        <color theme="1"/>
        <rFont val="Arial Narrow"/>
        <family val="2"/>
      </rPr>
      <t>2</t>
    </r>
    <r>
      <rPr>
        <b/>
        <i/>
        <sz val="12"/>
        <color theme="1"/>
        <rFont val="Arial Narrow"/>
        <family val="2"/>
      </rPr>
      <t>:</t>
    </r>
    <r>
      <rPr>
        <i/>
        <sz val="12"/>
        <color theme="1"/>
        <rFont val="Arial Narrow"/>
        <family val="2"/>
      </rPr>
      <t xml:space="preserve"> Die im Merkblatt abgedruckte Formel A.43 für die physikalische Wiederbelüftungsrate k2 ergibt aufgrund einer fehlerhaften Klammersetzung keine plausiblen Werte. Die Formel wurde wie rechts aufgeführt korrigiert.</t>
    </r>
  </si>
  <si>
    <r>
      <rPr>
        <i/>
        <u/>
        <sz val="12"/>
        <color theme="1"/>
        <rFont val="Arial Narrow"/>
        <family val="2"/>
      </rPr>
      <t>Anmerkung:</t>
    </r>
    <r>
      <rPr>
        <i/>
        <sz val="12"/>
        <color theme="1"/>
        <rFont val="Arial Narrow"/>
        <family val="2"/>
      </rPr>
      <t xml:space="preserve"> Auf LWB und BGA mit Niederschlagswasserbehandlung besteht die Möglichkeit einer verzögerten Einleitung von teilgereinigtem Niederschlagswasser aus der Behandlungsanlage ohne gleichzeitigen Niederschlagsabfluss. Aufgrund der geringen Einleitmenge, kann dies in der Mischrechnung ein „Worst-Case-Szenario“ darstellen. Dieses wird im Berechnungsgang durch die Regenabflussspende von 0 l/(s*ha) beschrieben. Sofern im Excel-Blatt eine Behandlungsanlage für Niederschlagswasser mit ihrem Drosselabfluss eingetragen wird, sind die Auswirkungen dieses Szenarios auf das Gewässer in den Diagrammen jeweils im ersten dargestellten Punkt bei 0 l/(s*ha) Regenabflussspende zu erkennen.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</si>
</sst>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000"/>
    <numFmt numFmtId="167" formatCode="0.0000"/>
    <numFmt numFmtId="168" formatCode="0.00000"/>
  </numFmts>
  <fonts count="33" x14ac:knownFonts="1">
    <font>
      <sz val="11"/>
      <color theme="1"/>
      <name val="Calibri"/>
      <family val="2"/>
      <scheme val="minor"/>
    </font>
    <font>
      <b/>
      <sz val="11"/>
      <color theme="1"/>
      <name val="Calibri"/>
      <family val="2"/>
      <scheme val="minor"/>
    </font>
    <font>
      <sz val="11"/>
      <color theme="0" tint="-0.499984740745262"/>
      <name val="Calibri"/>
      <family val="2"/>
      <scheme val="minor"/>
    </font>
    <font>
      <sz val="11"/>
      <color theme="1"/>
      <name val="Calibri"/>
      <family val="2"/>
    </font>
    <font>
      <sz val="11"/>
      <name val="Calibri"/>
      <family val="2"/>
      <scheme val="minor"/>
    </font>
    <font>
      <sz val="8"/>
      <color theme="1"/>
      <name val="Calibri"/>
      <family val="2"/>
      <scheme val="minor"/>
    </font>
    <font>
      <b/>
      <sz val="8"/>
      <color theme="1"/>
      <name val="Calibri"/>
      <family val="2"/>
      <scheme val="minor"/>
    </font>
    <font>
      <sz val="11"/>
      <color theme="0" tint="-0.14999847407452621"/>
      <name val="Calibri"/>
      <family val="2"/>
      <scheme val="minor"/>
    </font>
    <font>
      <sz val="8"/>
      <color theme="0" tint="-0.499984740745262"/>
      <name val="Calibri"/>
      <family val="2"/>
      <scheme val="minor"/>
    </font>
    <font>
      <sz val="11"/>
      <color theme="0" tint="-0.249977111117893"/>
      <name val="Calibri"/>
      <family val="2"/>
      <scheme val="minor"/>
    </font>
    <font>
      <i/>
      <sz val="11"/>
      <color theme="1"/>
      <name val="Calibri"/>
      <family val="2"/>
      <scheme val="minor"/>
    </font>
    <font>
      <i/>
      <sz val="8"/>
      <color theme="1"/>
      <name val="Calibri"/>
      <family val="2"/>
      <scheme val="minor"/>
    </font>
    <font>
      <i/>
      <sz val="11"/>
      <color theme="1"/>
      <name val="Calibri"/>
      <family val="2"/>
    </font>
    <font>
      <i/>
      <sz val="8"/>
      <color theme="1"/>
      <name val="Calibri"/>
      <family val="2"/>
    </font>
    <font>
      <b/>
      <i/>
      <sz val="11"/>
      <color theme="1"/>
      <name val="Calibri"/>
      <family val="2"/>
      <scheme val="minor"/>
    </font>
    <font>
      <sz val="8"/>
      <color theme="0" tint="-0.14999847407452621"/>
      <name val="Calibri"/>
      <family val="2"/>
      <scheme val="minor"/>
    </font>
    <font>
      <i/>
      <sz val="11"/>
      <name val="Calibri"/>
      <family val="2"/>
      <scheme val="minor"/>
    </font>
    <font>
      <i/>
      <sz val="11"/>
      <color theme="0" tint="-0.499984740745262"/>
      <name val="Calibri"/>
      <family val="2"/>
      <scheme val="minor"/>
    </font>
    <font>
      <i/>
      <sz val="8"/>
      <color theme="0" tint="-0.499984740745262"/>
      <name val="Calibri"/>
      <family val="2"/>
      <scheme val="minor"/>
    </font>
    <font>
      <b/>
      <sz val="11"/>
      <color theme="1"/>
      <name val="Calibri"/>
      <family val="2"/>
    </font>
    <font>
      <b/>
      <sz val="9.9"/>
      <color theme="1"/>
      <name val="Calibri"/>
      <family val="2"/>
    </font>
    <font>
      <b/>
      <sz val="8"/>
      <color theme="1"/>
      <name val="Calibri"/>
      <family val="2"/>
    </font>
    <font>
      <sz val="8"/>
      <name val="Calibri"/>
      <family val="2"/>
      <scheme val="minor"/>
    </font>
    <font>
      <sz val="12"/>
      <color theme="1"/>
      <name val="Arial Narrow"/>
      <family val="2"/>
    </font>
    <font>
      <b/>
      <sz val="12"/>
      <color theme="1"/>
      <name val="Arial Narrow"/>
      <family val="2"/>
    </font>
    <font>
      <vertAlign val="subscript"/>
      <sz val="12"/>
      <color theme="1"/>
      <name val="Arial Narrow"/>
      <family val="2"/>
    </font>
    <font>
      <b/>
      <sz val="9"/>
      <color theme="1"/>
      <name val="Arial Narrow"/>
      <family val="2"/>
    </font>
    <font>
      <i/>
      <sz val="12"/>
      <color theme="1"/>
      <name val="Arial Narrow"/>
      <family val="2"/>
    </font>
    <font>
      <i/>
      <u/>
      <sz val="12"/>
      <color theme="1"/>
      <name val="Arial Narrow"/>
      <family val="2"/>
    </font>
    <font>
      <b/>
      <i/>
      <sz val="12"/>
      <color theme="1"/>
      <name val="Arial Narrow"/>
      <family val="2"/>
    </font>
    <font>
      <b/>
      <i/>
      <sz val="9"/>
      <color theme="1"/>
      <name val="Arial Narrow"/>
      <family val="2"/>
    </font>
    <font>
      <b/>
      <i/>
      <u/>
      <sz val="12"/>
      <color theme="1"/>
      <name val="Arial Narrow"/>
      <family val="2"/>
    </font>
    <font>
      <i/>
      <sz val="8"/>
      <color theme="1"/>
      <name val="Arial Narrow"/>
      <family val="2"/>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315">
    <xf numFmtId="0" fontId="0" fillId="0" borderId="0" xfId="0"/>
    <xf numFmtId="0" fontId="1" fillId="0" borderId="0" xfId="0" applyFont="1"/>
    <xf numFmtId="0" fontId="0" fillId="0" borderId="1" xfId="0" applyBorder="1"/>
    <xf numFmtId="0" fontId="0" fillId="2" borderId="1" xfId="0" applyFill="1" applyBorder="1"/>
    <xf numFmtId="0" fontId="2" fillId="0" borderId="1" xfId="0" applyFont="1" applyBorder="1"/>
    <xf numFmtId="0" fontId="2" fillId="2" borderId="1" xfId="0" applyFont="1" applyFill="1" applyBorder="1"/>
    <xf numFmtId="0" fontId="0" fillId="0" borderId="1" xfId="0" applyFill="1" applyBorder="1"/>
    <xf numFmtId="0" fontId="0" fillId="3" borderId="1" xfId="0" applyFill="1" applyBorder="1"/>
    <xf numFmtId="0" fontId="3" fillId="0" borderId="1" xfId="0" applyFont="1" applyBorder="1"/>
    <xf numFmtId="0" fontId="0" fillId="0" borderId="1" xfId="0" applyBorder="1" applyAlignment="1">
      <alignment vertical="center" wrapText="1"/>
    </xf>
    <xf numFmtId="0" fontId="0" fillId="0" borderId="1" xfId="0" applyBorder="1" applyAlignment="1">
      <alignment vertical="center"/>
    </xf>
    <xf numFmtId="0" fontId="0" fillId="2" borderId="1" xfId="0" applyFill="1" applyBorder="1" applyAlignment="1">
      <alignment vertical="center"/>
    </xf>
    <xf numFmtId="0" fontId="0" fillId="0" borderId="0" xfId="0" applyBorder="1" applyAlignment="1">
      <alignment horizontal="left" vertical="center"/>
    </xf>
    <xf numFmtId="0" fontId="0" fillId="0" borderId="0" xfId="0" applyBorder="1"/>
    <xf numFmtId="0" fontId="0" fillId="0" borderId="0" xfId="0" applyFill="1" applyBorder="1"/>
    <xf numFmtId="0" fontId="0" fillId="0" borderId="1" xfId="0" applyBorder="1" applyAlignment="1"/>
    <xf numFmtId="0" fontId="0" fillId="0" borderId="2" xfId="0" applyBorder="1"/>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Font="1" applyBorder="1" applyAlignment="1">
      <alignment horizontal="left" vertical="center"/>
    </xf>
    <xf numFmtId="0" fontId="0" fillId="2" borderId="1" xfId="0" applyFont="1" applyFill="1" applyBorder="1" applyAlignment="1">
      <alignment horizontal="left"/>
    </xf>
    <xf numFmtId="0" fontId="0" fillId="0" borderId="1" xfId="0" applyBorder="1" applyAlignment="1">
      <alignment horizontal="left" vertical="center" wrapText="1"/>
    </xf>
    <xf numFmtId="2" fontId="0" fillId="3" borderId="1" xfId="0" applyNumberFormat="1" applyFill="1" applyBorder="1"/>
    <xf numFmtId="0" fontId="7" fillId="0" borderId="0" xfId="0" applyFont="1"/>
    <xf numFmtId="0" fontId="0" fillId="2" borderId="10" xfId="0" applyFill="1" applyBorder="1"/>
    <xf numFmtId="0" fontId="0" fillId="0" borderId="10" xfId="0" applyBorder="1"/>
    <xf numFmtId="0" fontId="0" fillId="0" borderId="5" xfId="0" applyBorder="1"/>
    <xf numFmtId="0" fontId="0" fillId="2" borderId="5" xfId="0" applyFill="1" applyBorder="1"/>
    <xf numFmtId="164" fontId="0" fillId="3" borderId="1" xfId="0" applyNumberFormat="1" applyFill="1" applyBorder="1"/>
    <xf numFmtId="165" fontId="0" fillId="3" borderId="1" xfId="0" applyNumberFormat="1" applyFill="1" applyBorder="1"/>
    <xf numFmtId="2" fontId="0" fillId="3" borderId="3" xfId="0" applyNumberFormat="1" applyFill="1" applyBorder="1" applyAlignment="1"/>
    <xf numFmtId="0" fontId="0" fillId="0" borderId="3" xfId="0" applyBorder="1" applyAlignment="1">
      <alignment vertical="center" wrapText="1"/>
    </xf>
    <xf numFmtId="0" fontId="0" fillId="2" borderId="3" xfId="0" applyFont="1" applyFill="1" applyBorder="1" applyAlignment="1">
      <alignment horizontal="left"/>
    </xf>
    <xf numFmtId="0" fontId="0" fillId="2" borderId="2" xfId="0" applyFill="1" applyBorder="1"/>
    <xf numFmtId="0" fontId="0" fillId="0" borderId="0" xfId="0" applyBorder="1" applyAlignment="1">
      <alignment vertical="center"/>
    </xf>
    <xf numFmtId="165" fontId="0" fillId="3" borderId="1" xfId="0" applyNumberFormat="1" applyFill="1" applyBorder="1" applyAlignment="1">
      <alignment vertical="center"/>
    </xf>
    <xf numFmtId="164" fontId="0" fillId="3" borderId="1" xfId="0" applyNumberFormat="1" applyFont="1" applyFill="1" applyBorder="1"/>
    <xf numFmtId="0" fontId="9" fillId="0" borderId="0" xfId="0" applyFont="1"/>
    <xf numFmtId="0" fontId="0" fillId="0" borderId="4" xfId="0" applyBorder="1" applyAlignment="1">
      <alignment horizontal="left" vertical="center" wrapText="1"/>
    </xf>
    <xf numFmtId="0" fontId="10" fillId="0" borderId="1" xfId="0" applyFont="1" applyBorder="1"/>
    <xf numFmtId="0" fontId="10" fillId="2" borderId="1" xfId="0" applyFont="1" applyFill="1" applyBorder="1"/>
    <xf numFmtId="0" fontId="0" fillId="0" borderId="0" xfId="0" applyAlignment="1">
      <alignment vertical="center"/>
    </xf>
    <xf numFmtId="0" fontId="0" fillId="0" borderId="0" xfId="0" applyFill="1" applyBorder="1" applyAlignment="1">
      <alignment vertical="center"/>
    </xf>
    <xf numFmtId="0" fontId="0" fillId="0" borderId="1" xfId="0" applyFont="1" applyFill="1" applyBorder="1"/>
    <xf numFmtId="2" fontId="0" fillId="3" borderId="5" xfId="0" applyNumberFormat="1" applyFill="1" applyBorder="1"/>
    <xf numFmtId="2" fontId="0" fillId="3" borderId="10" xfId="0" applyNumberFormat="1" applyFill="1" applyBorder="1"/>
    <xf numFmtId="0" fontId="0" fillId="3" borderId="1" xfId="0" applyFont="1" applyFill="1" applyBorder="1"/>
    <xf numFmtId="0" fontId="0" fillId="3" borderId="1" xfId="0" applyFill="1" applyBorder="1" applyAlignment="1">
      <alignment vertical="center"/>
    </xf>
    <xf numFmtId="0" fontId="1" fillId="0" borderId="0" xfId="0" applyFont="1" applyAlignment="1">
      <alignment vertical="center"/>
    </xf>
    <xf numFmtId="0" fontId="0" fillId="0" borderId="18" xfId="0" applyBorder="1"/>
    <xf numFmtId="0" fontId="1" fillId="0" borderId="0" xfId="0" applyFont="1" applyAlignment="1">
      <alignment horizontal="left"/>
    </xf>
    <xf numFmtId="0" fontId="0" fillId="0" borderId="0" xfId="0" applyAlignment="1">
      <alignment horizontal="left"/>
    </xf>
    <xf numFmtId="0" fontId="0" fillId="0" borderId="0" xfId="0" applyFill="1"/>
    <xf numFmtId="2" fontId="0" fillId="0" borderId="0" xfId="0" applyNumberFormat="1" applyFill="1" applyBorder="1"/>
    <xf numFmtId="0" fontId="12" fillId="0" borderId="1" xfId="0" applyFont="1" applyBorder="1"/>
    <xf numFmtId="164" fontId="10" fillId="3" borderId="1" xfId="0" applyNumberFormat="1" applyFont="1" applyFill="1" applyBorder="1"/>
    <xf numFmtId="0" fontId="0" fillId="2" borderId="3" xfId="0" applyFill="1" applyBorder="1"/>
    <xf numFmtId="0" fontId="0" fillId="0" borderId="4" xfId="0" applyBorder="1" applyAlignment="1">
      <alignment horizontal="left"/>
    </xf>
    <xf numFmtId="0" fontId="0" fillId="0" borderId="10" xfId="0" applyFont="1" applyBorder="1"/>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14" fillId="0" borderId="0" xfId="0" applyFont="1"/>
    <xf numFmtId="0" fontId="10" fillId="2" borderId="1" xfId="0" applyFont="1" applyFill="1" applyBorder="1" applyAlignment="1">
      <alignment horizontal="left" vertical="center"/>
    </xf>
    <xf numFmtId="0" fontId="10" fillId="0" borderId="0" xfId="0" applyFont="1"/>
    <xf numFmtId="0" fontId="7" fillId="0" borderId="0" xfId="0" applyFont="1" applyFill="1"/>
    <xf numFmtId="0" fontId="7" fillId="0" borderId="0" xfId="0" applyFont="1" applyFill="1" applyBorder="1"/>
    <xf numFmtId="2" fontId="7" fillId="0" borderId="0" xfId="0" applyNumberFormat="1" applyFont="1" applyFill="1" applyBorder="1"/>
    <xf numFmtId="166" fontId="7" fillId="0" borderId="0" xfId="0" applyNumberFormat="1" applyFont="1" applyFill="1" applyBorder="1"/>
    <xf numFmtId="0" fontId="0" fillId="0" borderId="1" xfId="0" applyBorder="1" applyAlignment="1">
      <alignment horizontal="left" vertical="center"/>
    </xf>
    <xf numFmtId="0" fontId="0" fillId="0" borderId="1" xfId="0" applyBorder="1" applyAlignment="1">
      <alignment horizontal="left" vertical="center" wrapText="1"/>
    </xf>
    <xf numFmtId="0" fontId="7" fillId="0" borderId="8" xfId="0" applyFont="1" applyFill="1" applyBorder="1"/>
    <xf numFmtId="166" fontId="7" fillId="0" borderId="8" xfId="0" applyNumberFormat="1" applyFont="1" applyFill="1" applyBorder="1"/>
    <xf numFmtId="2" fontId="7" fillId="0" borderId="8" xfId="0" applyNumberFormat="1" applyFont="1" applyFill="1" applyBorder="1"/>
    <xf numFmtId="0" fontId="1" fillId="4" borderId="19" xfId="0" applyFont="1" applyFill="1" applyBorder="1"/>
    <xf numFmtId="0" fontId="0" fillId="4" borderId="20" xfId="0" applyFill="1" applyBorder="1"/>
    <xf numFmtId="0" fontId="0" fillId="4" borderId="21" xfId="0" applyFill="1" applyBorder="1"/>
    <xf numFmtId="0" fontId="7" fillId="0" borderId="0" xfId="0" applyFont="1" applyBorder="1" applyAlignment="1">
      <alignment vertical="center"/>
    </xf>
    <xf numFmtId="0" fontId="1" fillId="4" borderId="0" xfId="0" applyFont="1" applyFill="1"/>
    <xf numFmtId="0" fontId="0" fillId="4" borderId="0" xfId="0" applyFill="1"/>
    <xf numFmtId="0" fontId="0" fillId="4" borderId="0" xfId="0" applyFill="1" applyAlignment="1">
      <alignment vertical="center"/>
    </xf>
    <xf numFmtId="0" fontId="0" fillId="5" borderId="1" xfId="0" applyFill="1" applyBorder="1"/>
    <xf numFmtId="0" fontId="0" fillId="5" borderId="1" xfId="0" applyFont="1" applyFill="1" applyBorder="1" applyAlignment="1">
      <alignment horizontal="left"/>
    </xf>
    <xf numFmtId="0" fontId="0" fillId="5" borderId="2" xfId="0" applyFont="1" applyFill="1" applyBorder="1" applyAlignment="1">
      <alignment horizontal="left"/>
    </xf>
    <xf numFmtId="0" fontId="0" fillId="5" borderId="10" xfId="0" applyFill="1" applyBorder="1"/>
    <xf numFmtId="0" fontId="14" fillId="0" borderId="3" xfId="0" applyFont="1" applyBorder="1"/>
    <xf numFmtId="0" fontId="10" fillId="0" borderId="6" xfId="0" applyFont="1" applyBorder="1"/>
    <xf numFmtId="0" fontId="0" fillId="2" borderId="3" xfId="0" applyFill="1" applyBorder="1" applyAlignment="1">
      <alignment vertical="center"/>
    </xf>
    <xf numFmtId="0" fontId="0" fillId="0" borderId="3" xfId="0" applyBorder="1"/>
    <xf numFmtId="0" fontId="3" fillId="0" borderId="4" xfId="0" applyFont="1" applyBorder="1"/>
    <xf numFmtId="0" fontId="0" fillId="0" borderId="4" xfId="0" applyBorder="1"/>
    <xf numFmtId="2" fontId="0" fillId="3" borderId="2" xfId="0" applyNumberFormat="1" applyFill="1" applyBorder="1"/>
    <xf numFmtId="0" fontId="2" fillId="0" borderId="3" xfId="0" applyFont="1" applyBorder="1"/>
    <xf numFmtId="0" fontId="2" fillId="0" borderId="4" xfId="0" applyFont="1" applyBorder="1"/>
    <xf numFmtId="0" fontId="0" fillId="3" borderId="2" xfId="0" applyFill="1" applyBorder="1"/>
    <xf numFmtId="0" fontId="0" fillId="0" borderId="3" xfId="0" applyBorder="1" applyAlignment="1">
      <alignment vertical="center"/>
    </xf>
    <xf numFmtId="0" fontId="0" fillId="0" borderId="4" xfId="0" applyBorder="1" applyAlignment="1">
      <alignment vertical="center"/>
    </xf>
    <xf numFmtId="0" fontId="0" fillId="3" borderId="5" xfId="0" applyFill="1" applyBorder="1"/>
    <xf numFmtId="0" fontId="0" fillId="3" borderId="2" xfId="0" applyFill="1" applyBorder="1" applyAlignment="1">
      <alignment vertical="center"/>
    </xf>
    <xf numFmtId="1" fontId="0" fillId="3" borderId="2" xfId="0" applyNumberFormat="1" applyFill="1" applyBorder="1"/>
    <xf numFmtId="0" fontId="10" fillId="0" borderId="3" xfId="0" applyFont="1" applyFill="1" applyBorder="1"/>
    <xf numFmtId="0" fontId="10" fillId="0" borderId="3" xfId="0" applyFont="1" applyBorder="1"/>
    <xf numFmtId="0" fontId="10" fillId="0" borderId="4" xfId="0" applyFont="1" applyBorder="1"/>
    <xf numFmtId="0" fontId="0" fillId="0" borderId="4" xfId="0" applyFill="1" applyBorder="1"/>
    <xf numFmtId="165" fontId="0" fillId="3" borderId="2" xfId="0" applyNumberFormat="1" applyFill="1" applyBorder="1" applyAlignment="1">
      <alignment vertical="center"/>
    </xf>
    <xf numFmtId="0" fontId="0" fillId="5" borderId="3" xfId="0" applyFill="1" applyBorder="1" applyAlignment="1">
      <alignment vertical="center"/>
    </xf>
    <xf numFmtId="0" fontId="0" fillId="5" borderId="16" xfId="0" applyFill="1" applyBorder="1" applyAlignment="1">
      <alignment vertical="center"/>
    </xf>
    <xf numFmtId="0" fontId="0" fillId="5" borderId="17" xfId="0" applyFill="1" applyBorder="1" applyAlignment="1">
      <alignment vertical="center"/>
    </xf>
    <xf numFmtId="0" fontId="0" fillId="5" borderId="15" xfId="0" applyFill="1" applyBorder="1" applyAlignment="1">
      <alignment vertical="center"/>
    </xf>
    <xf numFmtId="0" fontId="0" fillId="5" borderId="3" xfId="0" applyFont="1" applyFill="1" applyBorder="1" applyAlignment="1">
      <alignment horizontal="left"/>
    </xf>
    <xf numFmtId="0" fontId="0" fillId="5" borderId="4" xfId="0" applyFont="1" applyFill="1" applyBorder="1" applyAlignment="1">
      <alignment horizontal="left"/>
    </xf>
    <xf numFmtId="0" fontId="0" fillId="5" borderId="11" xfId="0" applyFont="1" applyFill="1" applyBorder="1" applyAlignment="1">
      <alignment horizontal="left"/>
    </xf>
    <xf numFmtId="164" fontId="0" fillId="3" borderId="2" xfId="0" applyNumberFormat="1" applyFont="1" applyFill="1" applyBorder="1"/>
    <xf numFmtId="0" fontId="0" fillId="0" borderId="2" xfId="0" applyBorder="1" applyAlignment="1">
      <alignment vertical="center" wrapText="1"/>
    </xf>
    <xf numFmtId="0" fontId="0" fillId="0" borderId="11" xfId="0" applyBorder="1" applyAlignment="1">
      <alignment vertical="center"/>
    </xf>
    <xf numFmtId="0" fontId="0" fillId="0" borderId="9" xfId="0" applyBorder="1" applyAlignment="1">
      <alignment vertical="center"/>
    </xf>
    <xf numFmtId="0" fontId="0" fillId="2" borderId="2" xfId="0" applyFill="1" applyBorder="1" applyAlignment="1">
      <alignment vertical="center"/>
    </xf>
    <xf numFmtId="0" fontId="10" fillId="0" borderId="2" xfId="0" applyFont="1" applyBorder="1" applyAlignment="1">
      <alignment vertical="center" wrapText="1"/>
    </xf>
    <xf numFmtId="0" fontId="10" fillId="0" borderId="11" xfId="0" applyFont="1" applyBorder="1" applyAlignment="1">
      <alignment vertical="center"/>
    </xf>
    <xf numFmtId="0" fontId="10" fillId="0" borderId="9"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165" fontId="0" fillId="3" borderId="2" xfId="0" applyNumberFormat="1" applyFont="1" applyFill="1" applyBorder="1"/>
    <xf numFmtId="0" fontId="17" fillId="0" borderId="1" xfId="0" applyFont="1" applyBorder="1" applyAlignment="1">
      <alignment horizontal="left" vertical="center"/>
    </xf>
    <xf numFmtId="0" fontId="17" fillId="0" borderId="1" xfId="0" applyFont="1" applyBorder="1"/>
    <xf numFmtId="165" fontId="17" fillId="3" borderId="5" xfId="0" applyNumberFormat="1" applyFont="1" applyFill="1" applyBorder="1"/>
    <xf numFmtId="0" fontId="17" fillId="2" borderId="1" xfId="0" applyFont="1" applyFill="1" applyBorder="1"/>
    <xf numFmtId="0" fontId="17" fillId="0" borderId="1" xfId="0" applyFont="1" applyBorder="1" applyAlignment="1">
      <alignment vertical="center"/>
    </xf>
    <xf numFmtId="165" fontId="17" fillId="3" borderId="5" xfId="0" applyNumberFormat="1" applyFont="1" applyFill="1" applyBorder="1" applyAlignment="1">
      <alignment vertical="center"/>
    </xf>
    <xf numFmtId="165" fontId="4" fillId="3" borderId="27" xfId="0" applyNumberFormat="1" applyFont="1" applyFill="1" applyBorder="1" applyAlignment="1">
      <alignment vertical="center"/>
    </xf>
    <xf numFmtId="0" fontId="0" fillId="0" borderId="13" xfId="0" applyBorder="1" applyAlignment="1">
      <alignment horizontal="left" vertical="center"/>
    </xf>
    <xf numFmtId="0" fontId="0" fillId="7" borderId="1" xfId="0" applyFill="1" applyBorder="1"/>
    <xf numFmtId="0" fontId="0" fillId="7" borderId="2" xfId="0" applyFill="1" applyBorder="1"/>
    <xf numFmtId="0" fontId="0" fillId="7" borderId="1" xfId="0" applyFont="1" applyFill="1" applyBorder="1" applyAlignment="1">
      <alignment horizontal="left"/>
    </xf>
    <xf numFmtId="167" fontId="0" fillId="3" borderId="2" xfId="0" applyNumberFormat="1" applyFill="1" applyBorder="1" applyAlignment="1">
      <alignment vertical="center"/>
    </xf>
    <xf numFmtId="167" fontId="0" fillId="3" borderId="5" xfId="0" applyNumberFormat="1" applyFill="1" applyBorder="1" applyAlignment="1">
      <alignment vertical="center"/>
    </xf>
    <xf numFmtId="167" fontId="0" fillId="3" borderId="1" xfId="0" applyNumberFormat="1" applyFont="1" applyFill="1" applyBorder="1"/>
    <xf numFmtId="0" fontId="0" fillId="0" borderId="3" xfId="0" applyFill="1" applyBorder="1"/>
    <xf numFmtId="164" fontId="0" fillId="3" borderId="1" xfId="0" applyNumberFormat="1" applyFill="1" applyBorder="1" applyAlignment="1">
      <alignment vertical="center"/>
    </xf>
    <xf numFmtId="164" fontId="0" fillId="3" borderId="2" xfId="0" applyNumberFormat="1" applyFill="1" applyBorder="1" applyAlignment="1">
      <alignment vertical="center"/>
    </xf>
    <xf numFmtId="0" fontId="0" fillId="2" borderId="13" xfId="0" applyFill="1" applyBorder="1"/>
    <xf numFmtId="167" fontId="10" fillId="3" borderId="4" xfId="0" applyNumberFormat="1" applyFont="1" applyFill="1" applyBorder="1"/>
    <xf numFmtId="2" fontId="0" fillId="0" borderId="0" xfId="0" applyNumberFormat="1"/>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3" xfId="0" applyBorder="1" applyAlignment="1">
      <alignment vertical="center"/>
    </xf>
    <xf numFmtId="0" fontId="0" fillId="0" borderId="5" xfId="0" applyBorder="1" applyAlignment="1">
      <alignment vertical="center"/>
    </xf>
    <xf numFmtId="3" fontId="0" fillId="3" borderId="1" xfId="0" applyNumberFormat="1" applyFill="1" applyBorder="1"/>
    <xf numFmtId="2" fontId="0" fillId="3" borderId="5" xfId="0" applyNumberFormat="1" applyFill="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0" xfId="0" applyFont="1" applyBorder="1"/>
    <xf numFmtId="0" fontId="10" fillId="0" borderId="0" xfId="0" applyFont="1" applyFill="1" applyBorder="1"/>
    <xf numFmtId="0" fontId="1" fillId="0" borderId="0" xfId="0" applyFont="1" applyBorder="1" applyAlignment="1">
      <alignment horizontal="left" vertical="center"/>
    </xf>
    <xf numFmtId="2" fontId="1" fillId="3" borderId="1" xfId="0" applyNumberFormat="1" applyFont="1" applyFill="1" applyBorder="1"/>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26" xfId="0"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Font="1" applyFill="1" applyBorder="1" applyAlignment="1">
      <alignment vertical="center" wrapText="1"/>
    </xf>
    <xf numFmtId="0" fontId="17" fillId="2" borderId="3" xfId="0" applyFont="1" applyFill="1" applyBorder="1"/>
    <xf numFmtId="0" fontId="10" fillId="2" borderId="11" xfId="0" applyFont="1" applyFill="1" applyBorder="1" applyAlignment="1">
      <alignmen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xf>
    <xf numFmtId="0" fontId="1" fillId="0" borderId="0" xfId="0" applyFont="1" applyBorder="1" applyAlignment="1">
      <alignment horizontal="left"/>
    </xf>
    <xf numFmtId="0" fontId="0" fillId="0" borderId="0" xfId="0" applyBorder="1" applyAlignment="1">
      <alignment horizontal="left"/>
    </xf>
    <xf numFmtId="0" fontId="1" fillId="0" borderId="0" xfId="0" applyFont="1" applyFill="1" applyBorder="1" applyAlignment="1">
      <alignment horizontal="center"/>
    </xf>
    <xf numFmtId="1" fontId="1" fillId="0" borderId="0" xfId="0" applyNumberFormat="1" applyFont="1" applyBorder="1" applyAlignment="1">
      <alignment horizontal="center"/>
    </xf>
    <xf numFmtId="2" fontId="0" fillId="0" borderId="18" xfId="0" applyNumberFormat="1" applyFill="1" applyBorder="1"/>
    <xf numFmtId="2" fontId="0" fillId="3" borderId="3" xfId="0" applyNumberFormat="1" applyFill="1" applyBorder="1"/>
    <xf numFmtId="2" fontId="1" fillId="8" borderId="27" xfId="0" applyNumberFormat="1" applyFont="1" applyFill="1" applyBorder="1" applyAlignment="1">
      <alignment horizontal="center"/>
    </xf>
    <xf numFmtId="0" fontId="0" fillId="0" borderId="1" xfId="0" applyFill="1" applyBorder="1" applyAlignment="1">
      <alignment vertical="center"/>
    </xf>
    <xf numFmtId="0" fontId="0" fillId="0" borderId="5" xfId="0" applyFill="1" applyBorder="1" applyAlignment="1">
      <alignment vertical="center"/>
    </xf>
    <xf numFmtId="0" fontId="0" fillId="3" borderId="26" xfId="0" applyFill="1" applyBorder="1"/>
    <xf numFmtId="0" fontId="0" fillId="0" borderId="6" xfId="0" applyFill="1" applyBorder="1"/>
    <xf numFmtId="2" fontId="1" fillId="8" borderId="27" xfId="0" applyNumberFormat="1" applyFont="1" applyFill="1" applyBorder="1"/>
    <xf numFmtId="0" fontId="4" fillId="5" borderId="1" xfId="0" applyFont="1" applyFill="1" applyBorder="1"/>
    <xf numFmtId="164" fontId="4" fillId="3" borderId="1" xfId="0" applyNumberFormat="1" applyFont="1" applyFill="1" applyBorder="1"/>
    <xf numFmtId="0" fontId="4" fillId="2" borderId="1" xfId="0" applyFont="1" applyFill="1" applyBorder="1"/>
    <xf numFmtId="0" fontId="23" fillId="0" borderId="0" xfId="0" applyFont="1"/>
    <xf numFmtId="0" fontId="24" fillId="9" borderId="19" xfId="0" applyFont="1" applyFill="1" applyBorder="1"/>
    <xf numFmtId="0" fontId="23" fillId="9" borderId="20" xfId="0" applyFont="1" applyFill="1" applyBorder="1"/>
    <xf numFmtId="0" fontId="23" fillId="9" borderId="21" xfId="0" applyFont="1" applyFill="1" applyBorder="1"/>
    <xf numFmtId="0" fontId="31" fillId="4" borderId="22" xfId="0" applyFont="1" applyFill="1" applyBorder="1"/>
    <xf numFmtId="0" fontId="23" fillId="4" borderId="0" xfId="0" applyFont="1" applyFill="1" applyBorder="1"/>
    <xf numFmtId="0" fontId="23" fillId="4" borderId="23" xfId="0" applyFont="1" applyFill="1" applyBorder="1"/>
    <xf numFmtId="0" fontId="0" fillId="5" borderId="11" xfId="0" applyFill="1" applyBorder="1" applyAlignment="1">
      <alignment vertical="center"/>
    </xf>
    <xf numFmtId="0" fontId="0" fillId="5" borderId="9" xfId="0" applyFill="1" applyBorder="1" applyAlignment="1">
      <alignment vertical="center"/>
    </xf>
    <xf numFmtId="0" fontId="0" fillId="5" borderId="2" xfId="0" applyFill="1" applyBorder="1"/>
    <xf numFmtId="0" fontId="0" fillId="2" borderId="11" xfId="0" applyFont="1" applyFill="1" applyBorder="1" applyAlignment="1">
      <alignment horizontal="left"/>
    </xf>
    <xf numFmtId="0" fontId="0" fillId="5" borderId="1" xfId="0" applyFont="1" applyFill="1" applyBorder="1" applyAlignment="1">
      <alignment horizontal="left" vertical="center" wrapText="1"/>
    </xf>
    <xf numFmtId="0" fontId="0" fillId="5" borderId="1" xfId="0" applyFont="1" applyFill="1" applyBorder="1" applyAlignment="1">
      <alignment horizontal="left" vertical="center"/>
    </xf>
    <xf numFmtId="168" fontId="0" fillId="6" borderId="28" xfId="0" applyNumberFormat="1" applyFill="1" applyBorder="1" applyProtection="1">
      <protection locked="0"/>
    </xf>
    <xf numFmtId="0" fontId="0" fillId="6" borderId="27" xfId="0" applyFill="1" applyBorder="1" applyProtection="1">
      <protection locked="0"/>
    </xf>
    <xf numFmtId="0" fontId="0" fillId="6" borderId="29" xfId="0" applyFill="1" applyBorder="1" applyProtection="1">
      <protection locked="0"/>
    </xf>
    <xf numFmtId="0" fontId="0" fillId="6" borderId="30" xfId="0" applyFill="1" applyBorder="1" applyProtection="1">
      <protection locked="0"/>
    </xf>
    <xf numFmtId="167" fontId="0" fillId="6" borderId="27" xfId="0" applyNumberFormat="1" applyFill="1" applyBorder="1" applyAlignment="1" applyProtection="1">
      <alignment horizontal="left"/>
      <protection locked="0"/>
    </xf>
    <xf numFmtId="2" fontId="0" fillId="6" borderId="28" xfId="0" applyNumberFormat="1" applyFill="1" applyBorder="1" applyProtection="1">
      <protection locked="0"/>
    </xf>
    <xf numFmtId="0" fontId="2" fillId="6" borderId="30" xfId="0" applyFont="1" applyFill="1" applyBorder="1" applyProtection="1">
      <protection locked="0"/>
    </xf>
    <xf numFmtId="0" fontId="0" fillId="6" borderId="28" xfId="0" applyFill="1" applyBorder="1" applyProtection="1">
      <protection locked="0"/>
    </xf>
    <xf numFmtId="0" fontId="10" fillId="6" borderId="27" xfId="0" applyFont="1" applyFill="1" applyBorder="1" applyProtection="1">
      <protection locked="0"/>
    </xf>
    <xf numFmtId="0" fontId="0" fillId="6" borderId="27" xfId="0" applyFill="1" applyBorder="1" applyAlignment="1" applyProtection="1">
      <alignment vertical="center"/>
      <protection locked="0"/>
    </xf>
    <xf numFmtId="0" fontId="10" fillId="6" borderId="27" xfId="0" applyFont="1" applyFill="1" applyBorder="1" applyAlignment="1" applyProtection="1">
      <alignment vertical="center"/>
      <protection locked="0"/>
    </xf>
    <xf numFmtId="0" fontId="4" fillId="6" borderId="27" xfId="0" applyFont="1" applyFill="1" applyBorder="1" applyProtection="1">
      <protection locked="0"/>
    </xf>
    <xf numFmtId="3" fontId="0" fillId="6" borderId="27" xfId="0" applyNumberFormat="1" applyFill="1" applyBorder="1" applyProtection="1">
      <protection locked="0"/>
    </xf>
    <xf numFmtId="4" fontId="0" fillId="6" borderId="27" xfId="0" applyNumberFormat="1" applyFill="1" applyBorder="1" applyProtection="1">
      <protection locked="0"/>
    </xf>
    <xf numFmtId="0" fontId="16" fillId="6" borderId="30" xfId="0" applyFont="1" applyFill="1" applyBorder="1" applyProtection="1">
      <protection locked="0"/>
    </xf>
    <xf numFmtId="0" fontId="10" fillId="6" borderId="28" xfId="0" applyFont="1" applyFill="1" applyBorder="1" applyProtection="1">
      <protection locked="0"/>
    </xf>
    <xf numFmtId="2" fontId="0" fillId="6" borderId="27" xfId="0" applyNumberFormat="1" applyFill="1" applyBorder="1" applyAlignment="1" applyProtection="1">
      <alignment vertical="center"/>
      <protection locked="0"/>
    </xf>
    <xf numFmtId="0" fontId="0" fillId="6" borderId="30" xfId="0" applyFill="1" applyBorder="1" applyAlignment="1" applyProtection="1">
      <alignment vertical="center"/>
      <protection locked="0"/>
    </xf>
    <xf numFmtId="0" fontId="0" fillId="6" borderId="37" xfId="0" applyFill="1" applyBorder="1" applyProtection="1">
      <protection locked="0"/>
    </xf>
    <xf numFmtId="0" fontId="0" fillId="6" borderId="40" xfId="0" applyFill="1" applyBorder="1" applyProtection="1">
      <protection locked="0"/>
    </xf>
    <xf numFmtId="0" fontId="0" fillId="6" borderId="31" xfId="0" applyFill="1" applyBorder="1" applyProtection="1">
      <protection locked="0"/>
    </xf>
    <xf numFmtId="0" fontId="0" fillId="6" borderId="24" xfId="0" applyFill="1" applyBorder="1" applyProtection="1">
      <protection locked="0"/>
    </xf>
    <xf numFmtId="0" fontId="0" fillId="6" borderId="32" xfId="0" applyFill="1" applyBorder="1" applyProtection="1">
      <protection locked="0"/>
    </xf>
    <xf numFmtId="0" fontId="0" fillId="6" borderId="33" xfId="0" applyFill="1" applyBorder="1" applyProtection="1">
      <protection locked="0"/>
    </xf>
    <xf numFmtId="0" fontId="0" fillId="6" borderId="18" xfId="0" applyFill="1" applyBorder="1" applyProtection="1">
      <protection locked="0"/>
    </xf>
    <xf numFmtId="0" fontId="0" fillId="6" borderId="25" xfId="0" applyFill="1" applyBorder="1" applyProtection="1">
      <protection locked="0"/>
    </xf>
    <xf numFmtId="0" fontId="23" fillId="9" borderId="24" xfId="0" applyFont="1" applyFill="1" applyBorder="1" applyAlignment="1">
      <alignment horizontal="left" vertical="center" wrapText="1"/>
    </xf>
    <xf numFmtId="0" fontId="23" fillId="9" borderId="18" xfId="0" applyFont="1" applyFill="1" applyBorder="1" applyAlignment="1">
      <alignment horizontal="left" vertical="center" wrapText="1"/>
    </xf>
    <xf numFmtId="0" fontId="23" fillId="9" borderId="25" xfId="0" applyFont="1" applyFill="1" applyBorder="1" applyAlignment="1">
      <alignment horizontal="left" vertical="center" wrapText="1"/>
    </xf>
    <xf numFmtId="0" fontId="24" fillId="9" borderId="19" xfId="0" applyFont="1" applyFill="1" applyBorder="1" applyAlignment="1">
      <alignment horizontal="left"/>
    </xf>
    <xf numFmtId="0" fontId="24" fillId="9" borderId="20" xfId="0" applyFont="1" applyFill="1" applyBorder="1" applyAlignment="1">
      <alignment horizontal="left"/>
    </xf>
    <xf numFmtId="0" fontId="24" fillId="9" borderId="21" xfId="0" applyFont="1" applyFill="1" applyBorder="1" applyAlignment="1">
      <alignment horizontal="left"/>
    </xf>
    <xf numFmtId="0" fontId="24" fillId="10" borderId="19" xfId="0" applyFont="1" applyFill="1" applyBorder="1" applyAlignment="1">
      <alignment horizontal="left"/>
    </xf>
    <xf numFmtId="0" fontId="24" fillId="10" borderId="20" xfId="0" applyFont="1" applyFill="1" applyBorder="1" applyAlignment="1">
      <alignment horizontal="left"/>
    </xf>
    <xf numFmtId="0" fontId="24" fillId="10" borderId="21" xfId="0" applyFont="1" applyFill="1" applyBorder="1" applyAlignment="1">
      <alignment horizontal="left"/>
    </xf>
    <xf numFmtId="0" fontId="23" fillId="10" borderId="24" xfId="0" applyFont="1" applyFill="1" applyBorder="1" applyAlignment="1">
      <alignment horizontal="left" vertical="center" wrapText="1"/>
    </xf>
    <xf numFmtId="0" fontId="23" fillId="10" borderId="18" xfId="0" applyFont="1" applyFill="1" applyBorder="1" applyAlignment="1">
      <alignment horizontal="left" vertical="center" wrapText="1"/>
    </xf>
    <xf numFmtId="0" fontId="23" fillId="10" borderId="25" xfId="0" applyFont="1" applyFill="1" applyBorder="1" applyAlignment="1">
      <alignment horizontal="left" vertical="center" wrapText="1"/>
    </xf>
    <xf numFmtId="0" fontId="23" fillId="9" borderId="22" xfId="0" applyFont="1" applyFill="1" applyBorder="1" applyAlignment="1">
      <alignment horizontal="left" vertical="center" wrapText="1"/>
    </xf>
    <xf numFmtId="0" fontId="23" fillId="9" borderId="0" xfId="0" applyFont="1" applyFill="1" applyBorder="1" applyAlignment="1">
      <alignment horizontal="left" vertical="center" wrapText="1"/>
    </xf>
    <xf numFmtId="0" fontId="23" fillId="9" borderId="23" xfId="0" applyFont="1" applyFill="1" applyBorder="1" applyAlignment="1">
      <alignment horizontal="left" vertical="center" wrapText="1"/>
    </xf>
    <xf numFmtId="0" fontId="27" fillId="4" borderId="22" xfId="0" applyFont="1" applyFill="1" applyBorder="1" applyAlignment="1">
      <alignment horizontal="left" vertical="center" wrapText="1"/>
    </xf>
    <xf numFmtId="0" fontId="27" fillId="4" borderId="0" xfId="0" applyFont="1" applyFill="1" applyBorder="1" applyAlignment="1">
      <alignment horizontal="left" vertical="center" wrapText="1"/>
    </xf>
    <xf numFmtId="0" fontId="27" fillId="4" borderId="23" xfId="0" applyFont="1" applyFill="1" applyBorder="1" applyAlignment="1">
      <alignment horizontal="left" vertical="center" wrapText="1"/>
    </xf>
    <xf numFmtId="0" fontId="27" fillId="4" borderId="24"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27" fillId="4" borderId="25" xfId="0" applyFont="1" applyFill="1" applyBorder="1" applyAlignment="1">
      <alignment horizontal="left" vertical="center" wrapText="1"/>
    </xf>
    <xf numFmtId="0" fontId="23" fillId="9" borderId="22"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23" xfId="0" applyFont="1" applyFill="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0" fillId="4" borderId="22" xfId="0" applyFill="1" applyBorder="1" applyAlignment="1">
      <alignment horizontal="left" vertical="center" wrapText="1"/>
    </xf>
    <xf numFmtId="0" fontId="0" fillId="4" borderId="0" xfId="0" applyFill="1" applyBorder="1" applyAlignment="1">
      <alignment horizontal="left" vertical="center" wrapText="1"/>
    </xf>
    <xf numFmtId="0" fontId="0" fillId="4" borderId="23" xfId="0" applyFill="1" applyBorder="1" applyAlignment="1">
      <alignment horizontal="left" vertical="center" wrapText="1"/>
    </xf>
    <xf numFmtId="0" fontId="0" fillId="4" borderId="24" xfId="0" applyFill="1" applyBorder="1" applyAlignment="1">
      <alignment horizontal="left" vertical="center" wrapText="1"/>
    </xf>
    <xf numFmtId="0" fontId="0" fillId="4" borderId="18" xfId="0" applyFill="1" applyBorder="1" applyAlignment="1">
      <alignment horizontal="left" vertical="center" wrapText="1"/>
    </xf>
    <xf numFmtId="0" fontId="0" fillId="4" borderId="25" xfId="0" applyFill="1"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7" borderId="3" xfId="0" applyFont="1" applyFill="1" applyBorder="1" applyAlignment="1">
      <alignment horizontal="center"/>
    </xf>
    <xf numFmtId="0" fontId="1" fillId="7" borderId="6" xfId="0" applyFont="1" applyFill="1" applyBorder="1" applyAlignment="1">
      <alignment horizontal="center"/>
    </xf>
    <xf numFmtId="0" fontId="1" fillId="7" borderId="4" xfId="0" applyFont="1" applyFill="1" applyBorder="1" applyAlignment="1">
      <alignment horizont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5" borderId="3" xfId="0" applyFill="1" applyBorder="1" applyAlignment="1">
      <alignment horizontal="left" wrapText="1"/>
    </xf>
    <xf numFmtId="0" fontId="0" fillId="5" borderId="4" xfId="0" applyFill="1" applyBorder="1" applyAlignment="1">
      <alignment horizontal="left" wrapText="1"/>
    </xf>
    <xf numFmtId="0" fontId="0" fillId="5" borderId="16" xfId="0" applyFill="1" applyBorder="1" applyAlignment="1">
      <alignment horizontal="left" wrapText="1"/>
    </xf>
    <xf numFmtId="0" fontId="0" fillId="5" borderId="17" xfId="0" applyFill="1" applyBorder="1" applyAlignment="1">
      <alignment horizontal="left" wrapText="1"/>
    </xf>
    <xf numFmtId="0" fontId="0" fillId="5" borderId="11" xfId="0" applyFill="1" applyBorder="1" applyAlignment="1">
      <alignment horizontal="left" wrapText="1"/>
    </xf>
    <xf numFmtId="0" fontId="0" fillId="5" borderId="9" xfId="0" applyFill="1" applyBorder="1" applyAlignment="1">
      <alignment horizontal="left" wrapText="1"/>
    </xf>
    <xf numFmtId="0" fontId="1" fillId="5" borderId="11" xfId="0" applyFont="1" applyFill="1" applyBorder="1" applyAlignment="1">
      <alignment horizontal="left"/>
    </xf>
    <xf numFmtId="0" fontId="1" fillId="5" borderId="8" xfId="0" applyFont="1" applyFill="1" applyBorder="1" applyAlignment="1">
      <alignment horizontal="left"/>
    </xf>
    <xf numFmtId="0" fontId="1" fillId="5" borderId="9" xfId="0" applyFont="1" applyFill="1" applyBorder="1" applyAlignment="1">
      <alignment horizontal="left"/>
    </xf>
    <xf numFmtId="0" fontId="1" fillId="5" borderId="13" xfId="0" applyFont="1" applyFill="1" applyBorder="1" applyAlignment="1">
      <alignment horizontal="center"/>
    </xf>
    <xf numFmtId="0" fontId="1" fillId="5" borderId="14" xfId="0" applyFont="1" applyFill="1" applyBorder="1" applyAlignment="1">
      <alignment horizontal="center"/>
    </xf>
    <xf numFmtId="0" fontId="1" fillId="5" borderId="15" xfId="0" applyFont="1" applyFill="1" applyBorder="1" applyAlignment="1">
      <alignment horizontal="center"/>
    </xf>
    <xf numFmtId="0" fontId="1" fillId="5" borderId="12" xfId="0" applyFont="1" applyFill="1" applyBorder="1" applyAlignment="1">
      <alignment horizontal="center"/>
    </xf>
    <xf numFmtId="0" fontId="1" fillId="5" borderId="0" xfId="0" applyFont="1" applyFill="1" applyBorder="1" applyAlignment="1">
      <alignment horizontal="center"/>
    </xf>
    <xf numFmtId="0" fontId="1" fillId="5" borderId="7" xfId="0" applyFont="1" applyFill="1" applyBorder="1" applyAlignment="1">
      <alignment horizontal="center"/>
    </xf>
    <xf numFmtId="0" fontId="1" fillId="5" borderId="11" xfId="0" applyFont="1" applyFill="1" applyBorder="1" applyAlignment="1">
      <alignment horizontal="center"/>
    </xf>
    <xf numFmtId="0" fontId="1" fillId="5" borderId="8" xfId="0" applyFont="1" applyFill="1" applyBorder="1" applyAlignment="1">
      <alignment horizontal="center"/>
    </xf>
    <xf numFmtId="0" fontId="1" fillId="5" borderId="9" xfId="0" applyFont="1" applyFill="1" applyBorder="1" applyAlignment="1">
      <alignment horizontal="center"/>
    </xf>
    <xf numFmtId="0" fontId="1" fillId="7" borderId="11" xfId="0" applyFont="1" applyFill="1" applyBorder="1" applyAlignment="1">
      <alignment horizontal="left"/>
    </xf>
    <xf numFmtId="0" fontId="1" fillId="7" borderId="8" xfId="0" applyFont="1" applyFill="1" applyBorder="1" applyAlignment="1">
      <alignment horizontal="left"/>
    </xf>
    <xf numFmtId="0" fontId="1" fillId="7" borderId="9" xfId="0" applyFont="1" applyFill="1" applyBorder="1" applyAlignment="1">
      <alignment horizontal="left"/>
    </xf>
    <xf numFmtId="0" fontId="0" fillId="0" borderId="11" xfId="0" applyBorder="1" applyAlignment="1">
      <alignment horizontal="left" vertical="center" wrapText="1"/>
    </xf>
    <xf numFmtId="0" fontId="0" fillId="0" borderId="9" xfId="0"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0" fillId="5" borderId="13" xfId="0" applyFill="1" applyBorder="1" applyAlignment="1">
      <alignment horizontal="center"/>
    </xf>
    <xf numFmtId="0" fontId="0" fillId="5" borderId="14" xfId="0" applyFill="1" applyBorder="1" applyAlignment="1">
      <alignment horizontal="center"/>
    </xf>
    <xf numFmtId="0" fontId="0" fillId="5" borderId="15" xfId="0" applyFill="1" applyBorder="1" applyAlignment="1">
      <alignment horizontal="center"/>
    </xf>
    <xf numFmtId="0" fontId="0" fillId="5" borderId="12" xfId="0" applyFill="1" applyBorder="1" applyAlignment="1">
      <alignment horizontal="center"/>
    </xf>
    <xf numFmtId="0" fontId="0" fillId="5" borderId="0"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0" borderId="5" xfId="0" applyBorder="1" applyAlignment="1">
      <alignment horizontal="left" vertical="center" wrapText="1"/>
    </xf>
    <xf numFmtId="0" fontId="0" fillId="0" borderId="5" xfId="0" applyBorder="1" applyAlignment="1">
      <alignment horizontal="left" vertical="center"/>
    </xf>
    <xf numFmtId="0" fontId="0" fillId="0" borderId="26" xfId="0" applyBorder="1" applyAlignment="1">
      <alignment horizontal="left" vertical="center"/>
    </xf>
    <xf numFmtId="0" fontId="10" fillId="0" borderId="1" xfId="0" applyFont="1" applyBorder="1" applyAlignment="1">
      <alignment horizontal="left" vertical="center"/>
    </xf>
    <xf numFmtId="0" fontId="0" fillId="4" borderId="31" xfId="0" applyFill="1" applyBorder="1" applyAlignment="1">
      <alignment horizontal="left"/>
    </xf>
    <xf numFmtId="0" fontId="0" fillId="4" borderId="32" xfId="0" applyFill="1" applyBorder="1" applyAlignment="1">
      <alignment horizontal="left"/>
    </xf>
    <xf numFmtId="0" fontId="0" fillId="4" borderId="33" xfId="0" applyFill="1" applyBorder="1" applyAlignment="1">
      <alignment horizontal="left"/>
    </xf>
    <xf numFmtId="0" fontId="0" fillId="0" borderId="2" xfId="0" applyBorder="1" applyAlignment="1">
      <alignment horizontal="left" vertical="center" wrapText="1"/>
    </xf>
    <xf numFmtId="165" fontId="0" fillId="3" borderId="34" xfId="0" applyNumberFormat="1" applyFill="1" applyBorder="1" applyProtection="1"/>
    <xf numFmtId="165" fontId="0" fillId="3" borderId="35" xfId="0" applyNumberFormat="1" applyFill="1" applyBorder="1" applyProtection="1"/>
    <xf numFmtId="165" fontId="0" fillId="3" borderId="36" xfId="0" applyNumberFormat="1" applyFill="1" applyBorder="1" applyProtection="1"/>
    <xf numFmtId="165" fontId="0" fillId="3" borderId="37" xfId="0" applyNumberFormat="1" applyFill="1" applyBorder="1" applyProtection="1"/>
    <xf numFmtId="165" fontId="0" fillId="3" borderId="38" xfId="0" applyNumberFormat="1" applyFill="1" applyBorder="1" applyProtection="1"/>
    <xf numFmtId="165" fontId="0" fillId="3" borderId="39" xfId="0" applyNumberFormat="1" applyFill="1" applyBorder="1" applyProtection="1"/>
  </cellXfs>
  <cellStyles count="1">
    <cellStyle name="Standard" xfId="0" builtinId="0"/>
  </cellStyles>
  <dxfs count="0"/>
  <tableStyles count="0" defaultTableStyle="TableStyleMedium2" defaultPivotStyle="PivotStyleLight16"/>
  <colors>
    <mruColors>
      <color rgb="FFC9740D"/>
      <color rgb="FFE4D2F2"/>
      <color rgb="FFD6BBEB"/>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68680124005781"/>
          <c:y val="5.0925925925925923E-2"/>
          <c:w val="0.8135634828229551"/>
          <c:h val="0.80231944444444447"/>
        </c:manualLayout>
      </c:layout>
      <c:scatterChart>
        <c:scatterStyle val="smoothMarker"/>
        <c:varyColors val="0"/>
        <c:ser>
          <c:idx val="0"/>
          <c:order val="0"/>
          <c:tx>
            <c:strRef>
              <c:f>Gewässerhydraulik!$L$16</c:f>
              <c:strCache>
                <c:ptCount val="1"/>
                <c:pt idx="0">
                  <c:v>hm</c:v>
                </c:pt>
              </c:strCache>
            </c:strRef>
          </c:tx>
          <c:spPr>
            <a:ln w="12700" cap="rnd">
              <a:solidFill>
                <a:schemeClr val="accent6">
                  <a:lumMod val="75000"/>
                </a:schemeClr>
              </a:solidFill>
              <a:round/>
            </a:ln>
            <a:effectLst/>
          </c:spPr>
          <c:marker>
            <c:symbol val="none"/>
          </c:marker>
          <c:trendline>
            <c:spPr>
              <a:ln w="19050" cap="rnd">
                <a:solidFill>
                  <a:schemeClr val="accent1"/>
                </a:solidFill>
                <a:prstDash val="sysDot"/>
              </a:ln>
              <a:effectLst/>
            </c:spPr>
            <c:trendlineType val="power"/>
            <c:dispRSqr val="1"/>
            <c:dispEq val="1"/>
            <c:trendlineLbl>
              <c:layout>
                <c:manualLayout>
                  <c:x val="5.9986851851851854E-2"/>
                  <c:y val="0.18147027777777777"/>
                </c:manualLayout>
              </c:layout>
              <c:numFmt formatCode="General" sourceLinked="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de-DE"/>
                </a:p>
              </c:txPr>
            </c:trendlineLbl>
          </c:trendline>
          <c:xVal>
            <c:numRef>
              <c:f>Gewässerhydraulik!$O$15:$AH$15</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Gewässerhydraulik!$O$16:$AH$16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1"/>
          <c:extLst>
            <c:ext xmlns:c16="http://schemas.microsoft.com/office/drawing/2014/chart" uri="{C3380CC4-5D6E-409C-BE32-E72D297353CC}">
              <c16:uniqueId val="{00000000-41F4-4260-BE9B-D2D410936BA0}"/>
            </c:ext>
          </c:extLst>
        </c:ser>
        <c:dLbls>
          <c:showLegendKey val="0"/>
          <c:showVal val="0"/>
          <c:showCatName val="0"/>
          <c:showSerName val="0"/>
          <c:showPercent val="0"/>
          <c:showBubbleSize val="0"/>
        </c:dLbls>
        <c:axId val="654345055"/>
        <c:axId val="654345887"/>
      </c:scatterChart>
      <c:valAx>
        <c:axId val="65434505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Q [l/s]</a:t>
                </a:r>
              </a:p>
            </c:rich>
          </c:tx>
          <c:layout>
            <c:manualLayout>
              <c:xMode val="edge"/>
              <c:yMode val="edge"/>
              <c:x val="0.46200185065558602"/>
              <c:y val="0.94408607973777048"/>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654345887"/>
        <c:crosses val="autoZero"/>
        <c:crossBetween val="midCat"/>
      </c:valAx>
      <c:valAx>
        <c:axId val="6543458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h</a:t>
                </a:r>
                <a:r>
                  <a:rPr lang="de-DE" sz="800" b="1"/>
                  <a:t>m</a:t>
                </a:r>
                <a:r>
                  <a:rPr lang="de-DE" b="1"/>
                  <a:t> [m]</a:t>
                </a:r>
              </a:p>
            </c:rich>
          </c:tx>
          <c:layout>
            <c:manualLayout>
              <c:xMode val="edge"/>
              <c:yMode val="edge"/>
              <c:x val="5.6043438029226367E-4"/>
              <c:y val="0.4193764919656536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65434505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94589476342111"/>
          <c:y val="5.0925925925925923E-2"/>
          <c:w val="0.82330438929959182"/>
          <c:h val="0.79475992063492062"/>
        </c:manualLayout>
      </c:layout>
      <c:scatterChart>
        <c:scatterStyle val="smoothMarker"/>
        <c:varyColors val="0"/>
        <c:ser>
          <c:idx val="0"/>
          <c:order val="0"/>
          <c:tx>
            <c:strRef>
              <c:f>Gewässerhydraulik!$L$14</c:f>
              <c:strCache>
                <c:ptCount val="1"/>
                <c:pt idx="0">
                  <c:v>vG</c:v>
                </c:pt>
              </c:strCache>
            </c:strRef>
          </c:tx>
          <c:spPr>
            <a:ln w="19050" cap="rnd">
              <a:solidFill>
                <a:schemeClr val="accent2">
                  <a:lumMod val="50000"/>
                </a:schemeClr>
              </a:solidFill>
              <a:round/>
            </a:ln>
            <a:effectLst/>
          </c:spPr>
          <c:marker>
            <c:symbol val="none"/>
          </c:marker>
          <c:trendline>
            <c:spPr>
              <a:ln w="19050" cap="rnd">
                <a:solidFill>
                  <a:schemeClr val="accent1"/>
                </a:solidFill>
                <a:prstDash val="sysDot"/>
              </a:ln>
              <a:effectLst/>
            </c:spPr>
            <c:trendlineType val="power"/>
            <c:dispRSqr val="1"/>
            <c:dispEq val="1"/>
            <c:trendlineLbl>
              <c:layout>
                <c:manualLayout>
                  <c:x val="5.3121851851851851E-2"/>
                  <c:y val="0.1960186111111111"/>
                </c:manualLayout>
              </c:layout>
              <c:numFmt formatCode="General" sourceLinked="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de-DE"/>
                </a:p>
              </c:txPr>
            </c:trendlineLbl>
          </c:trendline>
          <c:xVal>
            <c:numRef>
              <c:f>Gewässerhydraulik!$O$15:$AH$15</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Gewässerhydraulik!$O$14:$AH$14</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1"/>
          <c:extLst>
            <c:ext xmlns:c16="http://schemas.microsoft.com/office/drawing/2014/chart" uri="{C3380CC4-5D6E-409C-BE32-E72D297353CC}">
              <c16:uniqueId val="{00000000-0E3C-4DBA-85E3-5ED4BB154A07}"/>
            </c:ext>
          </c:extLst>
        </c:ser>
        <c:dLbls>
          <c:showLegendKey val="0"/>
          <c:showVal val="0"/>
          <c:showCatName val="0"/>
          <c:showSerName val="0"/>
          <c:showPercent val="0"/>
          <c:showBubbleSize val="0"/>
        </c:dLbls>
        <c:axId val="654345055"/>
        <c:axId val="654345887"/>
      </c:scatterChart>
      <c:valAx>
        <c:axId val="65434505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Q [l/s]</a:t>
                </a:r>
              </a:p>
            </c:rich>
          </c:tx>
          <c:layout>
            <c:manualLayout>
              <c:xMode val="edge"/>
              <c:yMode val="edge"/>
              <c:x val="0.46200185065558602"/>
              <c:y val="0.94408607973777048"/>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654345887"/>
        <c:crosses val="autoZero"/>
        <c:crossBetween val="midCat"/>
      </c:valAx>
      <c:valAx>
        <c:axId val="6543458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v</a:t>
                </a:r>
                <a:r>
                  <a:rPr lang="de-DE" sz="800" b="1"/>
                  <a:t>G</a:t>
                </a:r>
                <a:r>
                  <a:rPr lang="de-DE" b="1"/>
                  <a:t> [m/s]</a:t>
                </a:r>
              </a:p>
            </c:rich>
          </c:tx>
          <c:layout>
            <c:manualLayout>
              <c:xMode val="edge"/>
              <c:yMode val="edge"/>
              <c:x val="5.6043438029226367E-4"/>
              <c:y val="0.4193764919656536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65434505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36435185185185"/>
          <c:y val="5.0925925925925923E-2"/>
          <c:w val="0.85118564814814801"/>
          <c:h val="0.79475992063492062"/>
        </c:manualLayout>
      </c:layout>
      <c:scatterChart>
        <c:scatterStyle val="smoothMarker"/>
        <c:varyColors val="0"/>
        <c:ser>
          <c:idx val="0"/>
          <c:order val="0"/>
          <c:tx>
            <c:strRef>
              <c:f>Gewässerhydraulik!$L$14</c:f>
              <c:strCache>
                <c:ptCount val="1"/>
                <c:pt idx="0">
                  <c:v>vG</c:v>
                </c:pt>
              </c:strCache>
            </c:strRef>
          </c:tx>
          <c:spPr>
            <a:ln w="19050" cap="rnd">
              <a:solidFill>
                <a:schemeClr val="accent2">
                  <a:lumMod val="50000"/>
                </a:schemeClr>
              </a:solidFill>
              <a:round/>
            </a:ln>
            <a:effectLst/>
          </c:spPr>
          <c:marker>
            <c:symbol val="none"/>
          </c:marker>
          <c:trendline>
            <c:spPr>
              <a:ln w="19050" cap="rnd">
                <a:solidFill>
                  <a:schemeClr val="accent1"/>
                </a:solidFill>
                <a:prstDash val="sysDot"/>
              </a:ln>
              <a:effectLst/>
            </c:spPr>
            <c:trendlineType val="power"/>
            <c:dispRSqr val="1"/>
            <c:dispEq val="1"/>
            <c:trendlineLbl>
              <c:layout>
                <c:manualLayout>
                  <c:x val="5.3121851851851851E-2"/>
                  <c:y val="0.1960186111111111"/>
                </c:manualLayout>
              </c:layout>
              <c:numFmt formatCode="General" sourceLinked="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de-DE"/>
                </a:p>
              </c:txPr>
            </c:trendlineLbl>
          </c:trendline>
          <c:xVal>
            <c:numRef>
              <c:f>Gewässerhydraulik!$AI$15:$CP$15</c:f>
              <c:numCache>
                <c:formatCode>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xVal>
          <c:yVal>
            <c:numRef>
              <c:f>Gewässerhydraulik!$AI$14:$CP$14</c:f>
              <c:numCache>
                <c:formatCode>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yVal>
          <c:smooth val="1"/>
          <c:extLst>
            <c:ext xmlns:c16="http://schemas.microsoft.com/office/drawing/2014/chart" uri="{C3380CC4-5D6E-409C-BE32-E72D297353CC}">
              <c16:uniqueId val="{00000000-A859-424B-AE02-77041D0B7048}"/>
            </c:ext>
          </c:extLst>
        </c:ser>
        <c:dLbls>
          <c:showLegendKey val="0"/>
          <c:showVal val="0"/>
          <c:showCatName val="0"/>
          <c:showSerName val="0"/>
          <c:showPercent val="0"/>
          <c:showBubbleSize val="0"/>
        </c:dLbls>
        <c:axId val="654345055"/>
        <c:axId val="654345887"/>
      </c:scatterChart>
      <c:valAx>
        <c:axId val="65434505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Q [l/s]</a:t>
                </a:r>
              </a:p>
            </c:rich>
          </c:tx>
          <c:layout>
            <c:manualLayout>
              <c:xMode val="edge"/>
              <c:yMode val="edge"/>
              <c:x val="0.46200185065558602"/>
              <c:y val="0.94408607973777048"/>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654345887"/>
        <c:crosses val="autoZero"/>
        <c:crossBetween val="midCat"/>
      </c:valAx>
      <c:valAx>
        <c:axId val="6543458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v</a:t>
                </a:r>
                <a:r>
                  <a:rPr lang="de-DE" sz="800" b="1"/>
                  <a:t>G</a:t>
                </a:r>
                <a:r>
                  <a:rPr lang="de-DE" b="1"/>
                  <a:t> [m/s]</a:t>
                </a:r>
              </a:p>
            </c:rich>
          </c:tx>
          <c:layout>
            <c:manualLayout>
              <c:xMode val="edge"/>
              <c:yMode val="edge"/>
              <c:x val="5.6043438029226367E-4"/>
              <c:y val="0.4193764919656536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65434505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8302469135802"/>
          <c:y val="9.7222222222222224E-2"/>
          <c:w val="0.77626141975308638"/>
          <c:h val="0.752762467191601"/>
        </c:manualLayout>
      </c:layout>
      <c:lineChart>
        <c:grouping val="standard"/>
        <c:varyColors val="0"/>
        <c:ser>
          <c:idx val="0"/>
          <c:order val="0"/>
          <c:tx>
            <c:strRef>
              <c:f>'Stoffl. Nachweis I (O2 &amp; NH3-N)'!$C$103</c:f>
              <c:strCache>
                <c:ptCount val="1"/>
                <c:pt idx="0">
                  <c:v>CG (NH3-N)</c:v>
                </c:pt>
              </c:strCache>
            </c:strRef>
          </c:tx>
          <c:spPr>
            <a:ln w="19050" cap="rnd">
              <a:noFill/>
              <a:round/>
            </a:ln>
            <a:effectLst/>
          </c:spPr>
          <c:marker>
            <c:symbol val="triangle"/>
            <c:size val="6"/>
            <c:spPr>
              <a:solidFill>
                <a:srgbClr val="C9740D"/>
              </a:solidFill>
              <a:ln w="9525">
                <a:noFill/>
              </a:ln>
              <a:effectLst/>
            </c:spPr>
          </c:marker>
          <c:cat>
            <c:numRef>
              <c:f>'Stoffl. Nachweis I (O2 &amp; NH3-N)'!$D$61:$M$61</c:f>
              <c:numCache>
                <c:formatCode>General</c:formatCode>
                <c:ptCount val="10"/>
                <c:pt idx="0">
                  <c:v>0</c:v>
                </c:pt>
                <c:pt idx="1">
                  <c:v>0.5</c:v>
                </c:pt>
                <c:pt idx="2">
                  <c:v>1</c:v>
                </c:pt>
                <c:pt idx="3">
                  <c:v>2</c:v>
                </c:pt>
                <c:pt idx="4">
                  <c:v>4</c:v>
                </c:pt>
                <c:pt idx="5">
                  <c:v>8</c:v>
                </c:pt>
                <c:pt idx="6">
                  <c:v>16</c:v>
                </c:pt>
                <c:pt idx="7">
                  <c:v>32</c:v>
                </c:pt>
                <c:pt idx="8">
                  <c:v>64</c:v>
                </c:pt>
                <c:pt idx="9">
                  <c:v>128</c:v>
                </c:pt>
              </c:numCache>
            </c:numRef>
          </c:cat>
          <c:val>
            <c:numRef>
              <c:f>'Stoffl. Nachweis I (O2 &amp; NH3-N)'!$D$103:$M$103</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557-492C-AD87-13CB811C3E70}"/>
            </c:ext>
          </c:extLst>
        </c:ser>
        <c:ser>
          <c:idx val="1"/>
          <c:order val="1"/>
          <c:tx>
            <c:strRef>
              <c:f>'Stoffl. Nachweis I (O2 &amp; NH3-N)'!$C$127</c:f>
              <c:strCache>
                <c:ptCount val="1"/>
                <c:pt idx="0">
                  <c:v>Ckrit,NH3-N</c:v>
                </c:pt>
              </c:strCache>
            </c:strRef>
          </c:tx>
          <c:spPr>
            <a:ln w="19050" cap="rnd">
              <a:solidFill>
                <a:srgbClr val="C00000"/>
              </a:solidFill>
              <a:round/>
            </a:ln>
            <a:effectLst/>
          </c:spPr>
          <c:marker>
            <c:symbol val="none"/>
          </c:marker>
          <c:cat>
            <c:numRef>
              <c:f>'Stoffl. Nachweis I (O2 &amp; NH3-N)'!$D$61:$M$61</c:f>
              <c:numCache>
                <c:formatCode>General</c:formatCode>
                <c:ptCount val="10"/>
                <c:pt idx="0">
                  <c:v>0</c:v>
                </c:pt>
                <c:pt idx="1">
                  <c:v>0.5</c:v>
                </c:pt>
                <c:pt idx="2">
                  <c:v>1</c:v>
                </c:pt>
                <c:pt idx="3">
                  <c:v>2</c:v>
                </c:pt>
                <c:pt idx="4">
                  <c:v>4</c:v>
                </c:pt>
                <c:pt idx="5">
                  <c:v>8</c:v>
                </c:pt>
                <c:pt idx="6">
                  <c:v>16</c:v>
                </c:pt>
                <c:pt idx="7">
                  <c:v>32</c:v>
                </c:pt>
                <c:pt idx="8">
                  <c:v>64</c:v>
                </c:pt>
                <c:pt idx="9">
                  <c:v>128</c:v>
                </c:pt>
              </c:numCache>
            </c:numRef>
          </c:cat>
          <c:val>
            <c:numRef>
              <c:f>'Stoffl. Nachweis I (O2 &amp; NH3-N)'!$D$127:$M$127</c:f>
              <c:numCache>
                <c:formatCode>General</c:formatCode>
                <c:ptCount val="10"/>
                <c:pt idx="0">
                  <c:v>0.1</c:v>
                </c:pt>
                <c:pt idx="1">
                  <c:v>0.1</c:v>
                </c:pt>
                <c:pt idx="2">
                  <c:v>0.1</c:v>
                </c:pt>
                <c:pt idx="3">
                  <c:v>0.1</c:v>
                </c:pt>
                <c:pt idx="4">
                  <c:v>0.1</c:v>
                </c:pt>
                <c:pt idx="5">
                  <c:v>0.1</c:v>
                </c:pt>
                <c:pt idx="6">
                  <c:v>0.1</c:v>
                </c:pt>
                <c:pt idx="7">
                  <c:v>0.1</c:v>
                </c:pt>
                <c:pt idx="8">
                  <c:v>0.1</c:v>
                </c:pt>
                <c:pt idx="9">
                  <c:v>0.1</c:v>
                </c:pt>
              </c:numCache>
            </c:numRef>
          </c:val>
          <c:smooth val="0"/>
          <c:extLst>
            <c:ext xmlns:c16="http://schemas.microsoft.com/office/drawing/2014/chart" uri="{C3380CC4-5D6E-409C-BE32-E72D297353CC}">
              <c16:uniqueId val="{00000001-6557-492C-AD87-13CB811C3E70}"/>
            </c:ext>
          </c:extLst>
        </c:ser>
        <c:dLbls>
          <c:showLegendKey val="0"/>
          <c:showVal val="0"/>
          <c:showCatName val="0"/>
          <c:showSerName val="0"/>
          <c:showPercent val="0"/>
          <c:showBubbleSize val="0"/>
        </c:dLbls>
        <c:marker val="1"/>
        <c:smooth val="0"/>
        <c:axId val="1228107728"/>
        <c:axId val="1228111888"/>
      </c:lineChart>
      <c:catAx>
        <c:axId val="1228107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Regenabflussspende q</a:t>
                </a:r>
                <a:r>
                  <a:rPr lang="de-DE" sz="800" b="1"/>
                  <a:t>r</a:t>
                </a:r>
                <a:r>
                  <a:rPr lang="de-DE" b="1"/>
                  <a:t> [l/(s*ha)]</a:t>
                </a:r>
              </a:p>
            </c:rich>
          </c:tx>
          <c:layout>
            <c:manualLayout>
              <c:xMode val="edge"/>
              <c:yMode val="edge"/>
              <c:x val="0.32642235345581799"/>
              <c:y val="0.92960629921259841"/>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1228111888"/>
        <c:crosses val="autoZero"/>
        <c:auto val="1"/>
        <c:lblAlgn val="ctr"/>
        <c:lblOffset val="100"/>
        <c:noMultiLvlLbl val="0"/>
      </c:catAx>
      <c:valAx>
        <c:axId val="1228111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C (</a:t>
                </a:r>
                <a:r>
                  <a:rPr lang="de-DE" sz="1000" b="1"/>
                  <a:t>NH</a:t>
                </a:r>
                <a:r>
                  <a:rPr lang="de-DE" sz="800" b="1"/>
                  <a:t>3</a:t>
                </a:r>
                <a:r>
                  <a:rPr lang="de-DE" sz="1000" b="1"/>
                  <a:t>-N)</a:t>
                </a:r>
                <a:r>
                  <a:rPr lang="de-DE" b="1"/>
                  <a:t> [mg/l]</a:t>
                </a:r>
              </a:p>
            </c:rich>
          </c:tx>
          <c:layout>
            <c:manualLayout>
              <c:xMode val="edge"/>
              <c:yMode val="edge"/>
              <c:x val="2.7777777777777779E-3"/>
              <c:y val="0.3662190142898804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1228107728"/>
        <c:crosses val="autoZero"/>
        <c:crossBetween val="between"/>
      </c:valAx>
      <c:spPr>
        <a:noFill/>
        <a:ln>
          <a:noFill/>
        </a:ln>
        <a:effectLst/>
      </c:spPr>
    </c:plotArea>
    <c:legend>
      <c:legendPos val="t"/>
      <c:layout>
        <c:manualLayout>
          <c:xMode val="edge"/>
          <c:yMode val="edge"/>
          <c:x val="0.39836635802469134"/>
          <c:y val="0"/>
          <c:w val="0.59940925925925936"/>
          <c:h val="7.8125546806649182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82376543209876"/>
          <c:y val="8.3333333333333329E-2"/>
          <c:w val="0.82633549382716054"/>
          <c:h val="0.77591061533974914"/>
        </c:manualLayout>
      </c:layout>
      <c:lineChart>
        <c:grouping val="standard"/>
        <c:varyColors val="0"/>
        <c:ser>
          <c:idx val="0"/>
          <c:order val="0"/>
          <c:tx>
            <c:strRef>
              <c:f>'Stoffl. Nachweis I (O2 &amp; NH3-N)'!$C$95</c:f>
              <c:strCache>
                <c:ptCount val="1"/>
                <c:pt idx="0">
                  <c:v>Cmin,O2</c:v>
                </c:pt>
              </c:strCache>
            </c:strRef>
          </c:tx>
          <c:spPr>
            <a:ln w="19050" cap="rnd">
              <a:noFill/>
              <a:round/>
            </a:ln>
            <a:effectLst/>
          </c:spPr>
          <c:marker>
            <c:symbol val="diamond"/>
            <c:size val="6"/>
            <c:spPr>
              <a:solidFill>
                <a:schemeClr val="accent4">
                  <a:lumMod val="75000"/>
                </a:schemeClr>
              </a:solidFill>
              <a:ln w="9525">
                <a:noFill/>
              </a:ln>
              <a:effectLst/>
            </c:spPr>
          </c:marker>
          <c:cat>
            <c:numRef>
              <c:f>'Stoffl. Nachweis I (O2 &amp; NH3-N)'!$D$61:$M$61</c:f>
              <c:numCache>
                <c:formatCode>General</c:formatCode>
                <c:ptCount val="10"/>
                <c:pt idx="0">
                  <c:v>0</c:v>
                </c:pt>
                <c:pt idx="1">
                  <c:v>0.5</c:v>
                </c:pt>
                <c:pt idx="2">
                  <c:v>1</c:v>
                </c:pt>
                <c:pt idx="3">
                  <c:v>2</c:v>
                </c:pt>
                <c:pt idx="4">
                  <c:v>4</c:v>
                </c:pt>
                <c:pt idx="5">
                  <c:v>8</c:v>
                </c:pt>
                <c:pt idx="6">
                  <c:v>16</c:v>
                </c:pt>
                <c:pt idx="7">
                  <c:v>32</c:v>
                </c:pt>
                <c:pt idx="8">
                  <c:v>64</c:v>
                </c:pt>
                <c:pt idx="9">
                  <c:v>128</c:v>
                </c:pt>
              </c:numCache>
            </c:numRef>
          </c:cat>
          <c:val>
            <c:numRef>
              <c:f>'Stoffl. Nachweis I (O2 &amp; NH3-N)'!$D$95:$M$95</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6DF-4E57-AD2C-88067E5374CD}"/>
            </c:ext>
          </c:extLst>
        </c:ser>
        <c:ser>
          <c:idx val="1"/>
          <c:order val="1"/>
          <c:tx>
            <c:strRef>
              <c:f>'Stoffl. Nachweis I (O2 &amp; NH3-N)'!$C$126</c:f>
              <c:strCache>
                <c:ptCount val="1"/>
                <c:pt idx="0">
                  <c:v>Ckrit,O2</c:v>
                </c:pt>
              </c:strCache>
            </c:strRef>
          </c:tx>
          <c:spPr>
            <a:ln w="19050" cap="rnd">
              <a:solidFill>
                <a:srgbClr val="C00000"/>
              </a:solidFill>
              <a:round/>
            </a:ln>
            <a:effectLst/>
          </c:spPr>
          <c:marker>
            <c:symbol val="none"/>
          </c:marker>
          <c:cat>
            <c:numRef>
              <c:f>'Stoffl. Nachweis I (O2 &amp; NH3-N)'!$D$61:$M$61</c:f>
              <c:numCache>
                <c:formatCode>General</c:formatCode>
                <c:ptCount val="10"/>
                <c:pt idx="0">
                  <c:v>0</c:v>
                </c:pt>
                <c:pt idx="1">
                  <c:v>0.5</c:v>
                </c:pt>
                <c:pt idx="2">
                  <c:v>1</c:v>
                </c:pt>
                <c:pt idx="3">
                  <c:v>2</c:v>
                </c:pt>
                <c:pt idx="4">
                  <c:v>4</c:v>
                </c:pt>
                <c:pt idx="5">
                  <c:v>8</c:v>
                </c:pt>
                <c:pt idx="6">
                  <c:v>16</c:v>
                </c:pt>
                <c:pt idx="7">
                  <c:v>32</c:v>
                </c:pt>
                <c:pt idx="8">
                  <c:v>64</c:v>
                </c:pt>
                <c:pt idx="9">
                  <c:v>128</c:v>
                </c:pt>
              </c:numCache>
            </c:numRef>
          </c:cat>
          <c:val>
            <c:numRef>
              <c:f>'Stoffl. Nachweis I (O2 &amp; NH3-N)'!$D$126:$M$126</c:f>
              <c:numCache>
                <c:formatCode>General</c:formatCode>
                <c:ptCount val="10"/>
                <c:pt idx="0">
                  <c:v>5</c:v>
                </c:pt>
                <c:pt idx="1">
                  <c:v>5</c:v>
                </c:pt>
                <c:pt idx="2">
                  <c:v>5</c:v>
                </c:pt>
                <c:pt idx="3">
                  <c:v>5</c:v>
                </c:pt>
                <c:pt idx="4">
                  <c:v>5</c:v>
                </c:pt>
                <c:pt idx="5">
                  <c:v>5</c:v>
                </c:pt>
                <c:pt idx="6">
                  <c:v>5</c:v>
                </c:pt>
                <c:pt idx="7">
                  <c:v>5</c:v>
                </c:pt>
                <c:pt idx="8">
                  <c:v>5</c:v>
                </c:pt>
                <c:pt idx="9">
                  <c:v>5</c:v>
                </c:pt>
              </c:numCache>
            </c:numRef>
          </c:val>
          <c:smooth val="0"/>
          <c:extLst>
            <c:ext xmlns:c16="http://schemas.microsoft.com/office/drawing/2014/chart" uri="{C3380CC4-5D6E-409C-BE32-E72D297353CC}">
              <c16:uniqueId val="{00000001-56DF-4E57-AD2C-88067E5374CD}"/>
            </c:ext>
          </c:extLst>
        </c:ser>
        <c:dLbls>
          <c:showLegendKey val="0"/>
          <c:showVal val="0"/>
          <c:showCatName val="0"/>
          <c:showSerName val="0"/>
          <c:showPercent val="0"/>
          <c:showBubbleSize val="0"/>
        </c:dLbls>
        <c:marker val="1"/>
        <c:smooth val="0"/>
        <c:axId val="1218585184"/>
        <c:axId val="1218598496"/>
      </c:lineChart>
      <c:catAx>
        <c:axId val="12185851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Regenabflussspende q</a:t>
                </a:r>
                <a:r>
                  <a:rPr lang="de-DE" sz="800" b="1"/>
                  <a:t>r</a:t>
                </a:r>
                <a:r>
                  <a:rPr lang="de-DE" b="1"/>
                  <a:t> [l/(s*ha)]</a:t>
                </a:r>
              </a:p>
            </c:rich>
          </c:tx>
          <c:layout>
            <c:manualLayout>
              <c:xMode val="edge"/>
              <c:yMode val="edge"/>
              <c:x val="0.29564457567804026"/>
              <c:y val="0.92960629921259841"/>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1218598496"/>
        <c:crosses val="autoZero"/>
        <c:auto val="1"/>
        <c:lblAlgn val="ctr"/>
        <c:lblOffset val="100"/>
        <c:noMultiLvlLbl val="0"/>
      </c:catAx>
      <c:valAx>
        <c:axId val="1218598496"/>
        <c:scaling>
          <c:orientation val="minMax"/>
          <c:max val="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de-DE" b="1"/>
                  <a:t>C</a:t>
                </a:r>
                <a:r>
                  <a:rPr lang="de-DE" b="1" baseline="0"/>
                  <a:t> (O</a:t>
                </a:r>
                <a:r>
                  <a:rPr lang="de-DE" sz="800" b="1" baseline="0"/>
                  <a:t>2</a:t>
                </a:r>
                <a:r>
                  <a:rPr lang="de-DE" b="1" baseline="0"/>
                  <a:t>)</a:t>
                </a:r>
                <a:r>
                  <a:rPr lang="de-DE" b="1"/>
                  <a:t> [mg/l]</a:t>
                </a:r>
              </a:p>
            </c:rich>
          </c:tx>
          <c:layout>
            <c:manualLayout>
              <c:xMode val="edge"/>
              <c:yMode val="edge"/>
              <c:x val="0"/>
              <c:y val="0.3811960484106153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de-DE"/>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e-DE"/>
          </a:p>
        </c:txPr>
        <c:crossAx val="1218585184"/>
        <c:crosses val="autoZero"/>
        <c:crossBetween val="between"/>
      </c:valAx>
      <c:spPr>
        <a:noFill/>
        <a:ln>
          <a:noFill/>
        </a:ln>
        <a:effectLst/>
      </c:spPr>
    </c:plotArea>
    <c:legend>
      <c:legendPos val="t"/>
      <c:layout>
        <c:manualLayout>
          <c:xMode val="edge"/>
          <c:yMode val="edge"/>
          <c:x val="0.48559475308641969"/>
          <c:y val="0"/>
          <c:w val="0.51220555555555558"/>
          <c:h val="7.8125546806649182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a:solidFill>
            <a:sysClr val="windowText" lastClr="000000"/>
          </a:solidFill>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12</xdr:col>
      <xdr:colOff>69851</xdr:colOff>
      <xdr:row>19</xdr:row>
      <xdr:rowOff>12700</xdr:rowOff>
    </xdr:from>
    <xdr:to>
      <xdr:col>14</xdr:col>
      <xdr:colOff>222250</xdr:colOff>
      <xdr:row>19</xdr:row>
      <xdr:rowOff>347980</xdr:rowOff>
    </xdr:to>
    <xdr:pic>
      <xdr:nvPicPr>
        <xdr:cNvPr id="2" name="Grafik 1"/>
        <xdr:cNvPicPr>
          <a:picLocks noChangeAspect="1"/>
        </xdr:cNvPicPr>
      </xdr:nvPicPr>
      <xdr:blipFill>
        <a:blip xmlns:r="http://schemas.openxmlformats.org/officeDocument/2006/relationships" r:embed="rId1"/>
        <a:stretch>
          <a:fillRect/>
        </a:stretch>
      </xdr:blipFill>
      <xdr:spPr>
        <a:xfrm>
          <a:off x="11347451" y="11264900"/>
          <a:ext cx="1676399" cy="335280"/>
        </a:xfrm>
        <a:prstGeom prst="rect">
          <a:avLst/>
        </a:prstGeom>
      </xdr:spPr>
    </xdr:pic>
    <xdr:clientData/>
  </xdr:twoCellAnchor>
  <xdr:twoCellAnchor editAs="oneCell">
    <xdr:from>
      <xdr:col>14</xdr:col>
      <xdr:colOff>234950</xdr:colOff>
      <xdr:row>19</xdr:row>
      <xdr:rowOff>165101</xdr:rowOff>
    </xdr:from>
    <xdr:to>
      <xdr:col>20</xdr:col>
      <xdr:colOff>116562</xdr:colOff>
      <xdr:row>19</xdr:row>
      <xdr:rowOff>815432</xdr:rowOff>
    </xdr:to>
    <xdr:pic>
      <xdr:nvPicPr>
        <xdr:cNvPr id="3" name="Grafik 2"/>
        <xdr:cNvPicPr>
          <a:picLocks noChangeAspect="1"/>
        </xdr:cNvPicPr>
      </xdr:nvPicPr>
      <xdr:blipFill>
        <a:blip xmlns:r="http://schemas.openxmlformats.org/officeDocument/2006/relationships" r:embed="rId2"/>
        <a:stretch>
          <a:fillRect/>
        </a:stretch>
      </xdr:blipFill>
      <xdr:spPr>
        <a:xfrm>
          <a:off x="13036550" y="11417301"/>
          <a:ext cx="4453612" cy="650331"/>
        </a:xfrm>
        <a:prstGeom prst="rect">
          <a:avLst/>
        </a:prstGeom>
      </xdr:spPr>
    </xdr:pic>
    <xdr:clientData/>
  </xdr:twoCellAnchor>
  <xdr:twoCellAnchor editAs="oneCell">
    <xdr:from>
      <xdr:col>12</xdr:col>
      <xdr:colOff>12700</xdr:colOff>
      <xdr:row>16</xdr:row>
      <xdr:rowOff>572645</xdr:rowOff>
    </xdr:from>
    <xdr:to>
      <xdr:col>15</xdr:col>
      <xdr:colOff>12700</xdr:colOff>
      <xdr:row>18</xdr:row>
      <xdr:rowOff>129706</xdr:rowOff>
    </xdr:to>
    <xdr:pic>
      <xdr:nvPicPr>
        <xdr:cNvPr id="4" name="Grafik 3"/>
        <xdr:cNvPicPr>
          <a:picLocks noChangeAspect="1"/>
        </xdr:cNvPicPr>
      </xdr:nvPicPr>
      <xdr:blipFill>
        <a:blip xmlns:r="http://schemas.openxmlformats.org/officeDocument/2006/relationships" r:embed="rId3"/>
        <a:stretch>
          <a:fillRect/>
        </a:stretch>
      </xdr:blipFill>
      <xdr:spPr>
        <a:xfrm>
          <a:off x="11290300" y="10046845"/>
          <a:ext cx="2286000" cy="592111"/>
        </a:xfrm>
        <a:prstGeom prst="rect">
          <a:avLst/>
        </a:prstGeom>
      </xdr:spPr>
    </xdr:pic>
    <xdr:clientData/>
  </xdr:twoCellAnchor>
  <xdr:twoCellAnchor editAs="oneCell">
    <xdr:from>
      <xdr:col>15</xdr:col>
      <xdr:colOff>215900</xdr:colOff>
      <xdr:row>15</xdr:row>
      <xdr:rowOff>1200151</xdr:rowOff>
    </xdr:from>
    <xdr:to>
      <xdr:col>22</xdr:col>
      <xdr:colOff>142088</xdr:colOff>
      <xdr:row>18</xdr:row>
      <xdr:rowOff>501075</xdr:rowOff>
    </xdr:to>
    <xdr:pic>
      <xdr:nvPicPr>
        <xdr:cNvPr id="5" name="Grafik 4"/>
        <xdr:cNvPicPr>
          <a:picLocks noChangeAspect="1"/>
        </xdr:cNvPicPr>
      </xdr:nvPicPr>
      <xdr:blipFill>
        <a:blip xmlns:r="http://schemas.openxmlformats.org/officeDocument/2006/relationships" r:embed="rId4"/>
        <a:stretch>
          <a:fillRect/>
        </a:stretch>
      </xdr:blipFill>
      <xdr:spPr>
        <a:xfrm>
          <a:off x="13779500" y="9378951"/>
          <a:ext cx="5260188" cy="1631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228600</xdr:colOff>
      <xdr:row>18</xdr:row>
      <xdr:rowOff>9522</xdr:rowOff>
    </xdr:from>
    <xdr:to>
      <xdr:col>7</xdr:col>
      <xdr:colOff>1500600</xdr:colOff>
      <xdr:row>31</xdr:row>
      <xdr:rowOff>135572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228600</xdr:colOff>
      <xdr:row>32</xdr:row>
      <xdr:rowOff>50799</xdr:rowOff>
    </xdr:from>
    <xdr:to>
      <xdr:col>7</xdr:col>
      <xdr:colOff>1500600</xdr:colOff>
      <xdr:row>45</xdr:row>
      <xdr:rowOff>176849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xdr:row>
      <xdr:rowOff>6350</xdr:rowOff>
    </xdr:from>
    <xdr:to>
      <xdr:col>1</xdr:col>
      <xdr:colOff>1691100</xdr:colOff>
      <xdr:row>31</xdr:row>
      <xdr:rowOff>132400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210256</xdr:colOff>
      <xdr:row>0</xdr:row>
      <xdr:rowOff>0</xdr:rowOff>
    </xdr:from>
    <xdr:to>
      <xdr:col>13</xdr:col>
      <xdr:colOff>115006</xdr:colOff>
      <xdr:row>9</xdr:row>
      <xdr:rowOff>54170</xdr:rowOff>
    </xdr:to>
    <xdr:pic>
      <xdr:nvPicPr>
        <xdr:cNvPr id="2" name="Grafik 1"/>
        <xdr:cNvPicPr>
          <a:picLocks noChangeAspect="1"/>
        </xdr:cNvPicPr>
      </xdr:nvPicPr>
      <xdr:blipFill>
        <a:blip xmlns:r="http://schemas.openxmlformats.org/officeDocument/2006/relationships" r:embed="rId1"/>
        <a:stretch>
          <a:fillRect/>
        </a:stretch>
      </xdr:blipFill>
      <xdr:spPr>
        <a:xfrm>
          <a:off x="8627534" y="0"/>
          <a:ext cx="5238750" cy="1761614"/>
        </a:xfrm>
        <a:prstGeom prst="rect">
          <a:avLst/>
        </a:prstGeom>
      </xdr:spPr>
    </xdr:pic>
    <xdr:clientData/>
  </xdr:twoCellAnchor>
  <xdr:twoCellAnchor editAs="oneCell">
    <xdr:from>
      <xdr:col>13</xdr:col>
      <xdr:colOff>259644</xdr:colOff>
      <xdr:row>0</xdr:row>
      <xdr:rowOff>0</xdr:rowOff>
    </xdr:from>
    <xdr:to>
      <xdr:col>20</xdr:col>
      <xdr:colOff>179494</xdr:colOff>
      <xdr:row>25</xdr:row>
      <xdr:rowOff>10517</xdr:rowOff>
    </xdr:to>
    <xdr:pic>
      <xdr:nvPicPr>
        <xdr:cNvPr id="3" name="Grafik 2"/>
        <xdr:cNvPicPr>
          <a:picLocks noChangeAspect="1"/>
        </xdr:cNvPicPr>
      </xdr:nvPicPr>
      <xdr:blipFill>
        <a:blip xmlns:r="http://schemas.openxmlformats.org/officeDocument/2006/relationships" r:embed="rId2"/>
        <a:stretch>
          <a:fillRect/>
        </a:stretch>
      </xdr:blipFill>
      <xdr:spPr>
        <a:xfrm>
          <a:off x="14010922" y="0"/>
          <a:ext cx="5253850" cy="47236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304800</xdr:colOff>
      <xdr:row>0</xdr:row>
      <xdr:rowOff>158750</xdr:rowOff>
    </xdr:from>
    <xdr:to>
      <xdr:col>21</xdr:col>
      <xdr:colOff>685086</xdr:colOff>
      <xdr:row>43</xdr:row>
      <xdr:rowOff>78328</xdr:rowOff>
    </xdr:to>
    <xdr:pic>
      <xdr:nvPicPr>
        <xdr:cNvPr id="2" name="Grafik 1"/>
        <xdr:cNvPicPr>
          <a:picLocks noChangeAspect="1"/>
        </xdr:cNvPicPr>
      </xdr:nvPicPr>
      <xdr:blipFill>
        <a:blip xmlns:r="http://schemas.openxmlformats.org/officeDocument/2006/relationships" r:embed="rId1"/>
        <a:stretch>
          <a:fillRect/>
        </a:stretch>
      </xdr:blipFill>
      <xdr:spPr>
        <a:xfrm>
          <a:off x="15373350" y="158750"/>
          <a:ext cx="5714286" cy="8555578"/>
        </a:xfrm>
        <a:prstGeom prst="rect">
          <a:avLst/>
        </a:prstGeom>
      </xdr:spPr>
    </xdr:pic>
    <xdr:clientData/>
  </xdr:twoCellAnchor>
  <xdr:twoCellAnchor editAs="oneCell">
    <xdr:from>
      <xdr:col>6</xdr:col>
      <xdr:colOff>98601</xdr:colOff>
      <xdr:row>18</xdr:row>
      <xdr:rowOff>50800</xdr:rowOff>
    </xdr:from>
    <xdr:to>
      <xdr:col>11</xdr:col>
      <xdr:colOff>688317</xdr:colOff>
      <xdr:row>37</xdr:row>
      <xdr:rowOff>56636</xdr:rowOff>
    </xdr:to>
    <xdr:pic>
      <xdr:nvPicPr>
        <xdr:cNvPr id="4" name="Grafik 3"/>
        <xdr:cNvPicPr>
          <a:picLocks noChangeAspect="1"/>
        </xdr:cNvPicPr>
      </xdr:nvPicPr>
      <xdr:blipFill>
        <a:blip xmlns:r="http://schemas.openxmlformats.org/officeDocument/2006/relationships" r:embed="rId2"/>
        <a:stretch>
          <a:fillRect/>
        </a:stretch>
      </xdr:blipFill>
      <xdr:spPr>
        <a:xfrm>
          <a:off x="8855251" y="4356100"/>
          <a:ext cx="4583866" cy="3580886"/>
        </a:xfrm>
        <a:prstGeom prst="rect">
          <a:avLst/>
        </a:prstGeom>
      </xdr:spPr>
    </xdr:pic>
    <xdr:clientData/>
  </xdr:twoCellAnchor>
  <xdr:twoCellAnchor>
    <xdr:from>
      <xdr:col>7</xdr:col>
      <xdr:colOff>320675</xdr:colOff>
      <xdr:row>105</xdr:row>
      <xdr:rowOff>3175</xdr:rowOff>
    </xdr:from>
    <xdr:to>
      <xdr:col>11</xdr:col>
      <xdr:colOff>341225</xdr:colOff>
      <xdr:row>120</xdr:row>
      <xdr:rowOff>120925</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12699</xdr:colOff>
      <xdr:row>105</xdr:row>
      <xdr:rowOff>3175</xdr:rowOff>
    </xdr:from>
    <xdr:to>
      <xdr:col>7</xdr:col>
      <xdr:colOff>325349</xdr:colOff>
      <xdr:row>120</xdr:row>
      <xdr:rowOff>120925</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25"/>
  <sheetViews>
    <sheetView workbookViewId="0">
      <selection sqref="A1:L1"/>
    </sheetView>
  </sheetViews>
  <sheetFormatPr baseColWidth="10" defaultRowHeight="15.5" x14ac:dyDescent="0.35"/>
  <cols>
    <col min="1" max="1" width="41.453125" style="185" customWidth="1"/>
    <col min="2" max="16384" width="10.90625" style="185"/>
  </cols>
  <sheetData>
    <row r="1" spans="1:12" x14ac:dyDescent="0.35">
      <c r="A1" s="230" t="s">
        <v>395</v>
      </c>
      <c r="B1" s="231"/>
      <c r="C1" s="231"/>
      <c r="D1" s="231"/>
      <c r="E1" s="231"/>
      <c r="F1" s="231"/>
      <c r="G1" s="231"/>
      <c r="H1" s="231"/>
      <c r="I1" s="231"/>
      <c r="J1" s="231"/>
      <c r="K1" s="231"/>
      <c r="L1" s="232"/>
    </row>
    <row r="2" spans="1:12" ht="50.5" customHeight="1" thickBot="1" x14ac:dyDescent="0.4">
      <c r="A2" s="233" t="s">
        <v>394</v>
      </c>
      <c r="B2" s="234"/>
      <c r="C2" s="234"/>
      <c r="D2" s="234"/>
      <c r="E2" s="234"/>
      <c r="F2" s="234"/>
      <c r="G2" s="234"/>
      <c r="H2" s="234"/>
      <c r="I2" s="234"/>
      <c r="J2" s="234"/>
      <c r="K2" s="234"/>
      <c r="L2" s="235"/>
    </row>
    <row r="3" spans="1:12" ht="16" thickBot="1" x14ac:dyDescent="0.4"/>
    <row r="4" spans="1:12" x14ac:dyDescent="0.35">
      <c r="A4" s="227" t="s">
        <v>122</v>
      </c>
      <c r="B4" s="228"/>
      <c r="C4" s="228"/>
      <c r="D4" s="228"/>
      <c r="E4" s="228"/>
      <c r="F4" s="228"/>
      <c r="G4" s="228"/>
      <c r="H4" s="228"/>
      <c r="I4" s="228"/>
      <c r="J4" s="228"/>
      <c r="K4" s="228"/>
      <c r="L4" s="229"/>
    </row>
    <row r="5" spans="1:12" ht="36.5" customHeight="1" x14ac:dyDescent="0.35">
      <c r="A5" s="236" t="s">
        <v>411</v>
      </c>
      <c r="B5" s="237"/>
      <c r="C5" s="237"/>
      <c r="D5" s="237"/>
      <c r="E5" s="237"/>
      <c r="F5" s="237"/>
      <c r="G5" s="237"/>
      <c r="H5" s="237"/>
      <c r="I5" s="237"/>
      <c r="J5" s="237"/>
      <c r="K5" s="237"/>
      <c r="L5" s="238"/>
    </row>
    <row r="6" spans="1:12" ht="101.5" customHeight="1" thickBot="1" x14ac:dyDescent="0.4">
      <c r="A6" s="224" t="s">
        <v>396</v>
      </c>
      <c r="B6" s="225"/>
      <c r="C6" s="225"/>
      <c r="D6" s="225"/>
      <c r="E6" s="225"/>
      <c r="F6" s="225"/>
      <c r="G6" s="225"/>
      <c r="H6" s="225"/>
      <c r="I6" s="225"/>
      <c r="J6" s="225"/>
      <c r="K6" s="225"/>
      <c r="L6" s="226"/>
    </row>
    <row r="7" spans="1:12" ht="16" thickBot="1" x14ac:dyDescent="0.4"/>
    <row r="8" spans="1:12" x14ac:dyDescent="0.35">
      <c r="A8" s="227" t="s">
        <v>397</v>
      </c>
      <c r="B8" s="228"/>
      <c r="C8" s="228"/>
      <c r="D8" s="228"/>
      <c r="E8" s="228"/>
      <c r="F8" s="228"/>
      <c r="G8" s="228"/>
      <c r="H8" s="228"/>
      <c r="I8" s="228"/>
      <c r="J8" s="228"/>
      <c r="K8" s="228"/>
      <c r="L8" s="229"/>
    </row>
    <row r="9" spans="1:12" ht="74" customHeight="1" x14ac:dyDescent="0.35">
      <c r="A9" s="236" t="s">
        <v>398</v>
      </c>
      <c r="B9" s="237"/>
      <c r="C9" s="237"/>
      <c r="D9" s="237"/>
      <c r="E9" s="237"/>
      <c r="F9" s="237"/>
      <c r="G9" s="237"/>
      <c r="H9" s="237"/>
      <c r="I9" s="237"/>
      <c r="J9" s="237"/>
      <c r="K9" s="237"/>
      <c r="L9" s="238"/>
    </row>
    <row r="10" spans="1:12" ht="55" customHeight="1" x14ac:dyDescent="0.35">
      <c r="A10" s="236" t="s">
        <v>399</v>
      </c>
      <c r="B10" s="237"/>
      <c r="C10" s="237"/>
      <c r="D10" s="237"/>
      <c r="E10" s="237"/>
      <c r="F10" s="237"/>
      <c r="G10" s="237"/>
      <c r="H10" s="237"/>
      <c r="I10" s="237"/>
      <c r="J10" s="237"/>
      <c r="K10" s="237"/>
      <c r="L10" s="238"/>
    </row>
    <row r="11" spans="1:12" ht="158" customHeight="1" thickBot="1" x14ac:dyDescent="0.4">
      <c r="A11" s="224" t="s">
        <v>412</v>
      </c>
      <c r="B11" s="225"/>
      <c r="C11" s="225"/>
      <c r="D11" s="225"/>
      <c r="E11" s="225"/>
      <c r="F11" s="225"/>
      <c r="G11" s="225"/>
      <c r="H11" s="225"/>
      <c r="I11" s="225"/>
      <c r="J11" s="225"/>
      <c r="K11" s="225"/>
      <c r="L11" s="226"/>
    </row>
    <row r="12" spans="1:12" ht="16" thickBot="1" x14ac:dyDescent="0.4"/>
    <row r="13" spans="1:12" x14ac:dyDescent="0.35">
      <c r="A13" s="227" t="s">
        <v>400</v>
      </c>
      <c r="B13" s="228"/>
      <c r="C13" s="228"/>
      <c r="D13" s="228"/>
      <c r="E13" s="228"/>
      <c r="F13" s="228"/>
      <c r="G13" s="228"/>
      <c r="H13" s="228"/>
      <c r="I13" s="228"/>
      <c r="J13" s="228"/>
      <c r="K13" s="228"/>
      <c r="L13" s="229"/>
    </row>
    <row r="14" spans="1:12" ht="22.5" customHeight="1" x14ac:dyDescent="0.35">
      <c r="A14" s="245" t="s">
        <v>401</v>
      </c>
      <c r="B14" s="246"/>
      <c r="C14" s="246"/>
      <c r="D14" s="246"/>
      <c r="E14" s="246"/>
      <c r="F14" s="246"/>
      <c r="G14" s="246"/>
      <c r="H14" s="246"/>
      <c r="I14" s="246"/>
      <c r="J14" s="246"/>
      <c r="K14" s="246"/>
      <c r="L14" s="247"/>
    </row>
    <row r="15" spans="1:12" ht="36" customHeight="1" x14ac:dyDescent="0.35">
      <c r="A15" s="236" t="s">
        <v>402</v>
      </c>
      <c r="B15" s="237"/>
      <c r="C15" s="237"/>
      <c r="D15" s="237"/>
      <c r="E15" s="237"/>
      <c r="F15" s="237"/>
      <c r="G15" s="237"/>
      <c r="H15" s="237"/>
      <c r="I15" s="237"/>
      <c r="J15" s="237"/>
      <c r="K15" s="237"/>
      <c r="L15" s="238"/>
    </row>
    <row r="16" spans="1:12" ht="102" customHeight="1" x14ac:dyDescent="0.35">
      <c r="A16" s="236" t="s">
        <v>413</v>
      </c>
      <c r="B16" s="237"/>
      <c r="C16" s="237"/>
      <c r="D16" s="237"/>
      <c r="E16" s="237"/>
      <c r="F16" s="237"/>
      <c r="G16" s="237"/>
      <c r="H16" s="237"/>
      <c r="I16" s="237"/>
      <c r="J16" s="237"/>
      <c r="K16" s="237"/>
      <c r="L16" s="238"/>
    </row>
    <row r="17" spans="1:12" ht="66" customHeight="1" x14ac:dyDescent="0.35">
      <c r="A17" s="239" t="s">
        <v>416</v>
      </c>
      <c r="B17" s="240"/>
      <c r="C17" s="240"/>
      <c r="D17" s="240"/>
      <c r="E17" s="240"/>
      <c r="F17" s="240"/>
      <c r="G17" s="240"/>
      <c r="H17" s="240"/>
      <c r="I17" s="240"/>
      <c r="J17" s="240"/>
      <c r="K17" s="240"/>
      <c r="L17" s="241"/>
    </row>
    <row r="18" spans="1:12" x14ac:dyDescent="0.35">
      <c r="A18" s="189" t="s">
        <v>403</v>
      </c>
      <c r="B18" s="190"/>
      <c r="C18" s="190"/>
      <c r="D18" s="190"/>
      <c r="E18" s="190"/>
      <c r="F18" s="190"/>
      <c r="G18" s="190"/>
      <c r="H18" s="190"/>
      <c r="I18" s="190"/>
      <c r="J18" s="190"/>
      <c r="K18" s="190"/>
      <c r="L18" s="191"/>
    </row>
    <row r="19" spans="1:12" ht="46" customHeight="1" x14ac:dyDescent="0.35">
      <c r="A19" s="239" t="s">
        <v>415</v>
      </c>
      <c r="B19" s="240"/>
      <c r="C19" s="240"/>
      <c r="D19" s="240"/>
      <c r="E19" s="240"/>
      <c r="F19" s="240"/>
      <c r="G19" s="240"/>
      <c r="H19" s="240"/>
      <c r="I19" s="240"/>
      <c r="J19" s="240"/>
      <c r="K19" s="240"/>
      <c r="L19" s="241"/>
    </row>
    <row r="20" spans="1:12" ht="72.5" customHeight="1" x14ac:dyDescent="0.35">
      <c r="A20" s="239" t="s">
        <v>404</v>
      </c>
      <c r="B20" s="240"/>
      <c r="C20" s="240"/>
      <c r="D20" s="240"/>
      <c r="E20" s="240"/>
      <c r="F20" s="240"/>
      <c r="G20" s="240"/>
      <c r="H20" s="240"/>
      <c r="I20" s="240"/>
      <c r="J20" s="240"/>
      <c r="K20" s="240"/>
      <c r="L20" s="241"/>
    </row>
    <row r="21" spans="1:12" ht="64" customHeight="1" thickBot="1" x14ac:dyDescent="0.4">
      <c r="A21" s="242" t="s">
        <v>414</v>
      </c>
      <c r="B21" s="243"/>
      <c r="C21" s="243"/>
      <c r="D21" s="243"/>
      <c r="E21" s="243"/>
      <c r="F21" s="243"/>
      <c r="G21" s="243"/>
      <c r="H21" s="243"/>
      <c r="I21" s="243"/>
      <c r="J21" s="243"/>
      <c r="K21" s="243"/>
      <c r="L21" s="244"/>
    </row>
    <row r="22" spans="1:12" ht="16" thickBot="1" x14ac:dyDescent="0.4"/>
    <row r="23" spans="1:12" x14ac:dyDescent="0.35">
      <c r="A23" s="186" t="s">
        <v>405</v>
      </c>
      <c r="B23" s="187"/>
      <c r="C23" s="187"/>
      <c r="D23" s="187"/>
      <c r="E23" s="187"/>
      <c r="F23" s="187"/>
      <c r="G23" s="187"/>
      <c r="H23" s="187"/>
      <c r="I23" s="187"/>
      <c r="J23" s="187"/>
      <c r="K23" s="187"/>
      <c r="L23" s="188"/>
    </row>
    <row r="24" spans="1:12" ht="42" customHeight="1" x14ac:dyDescent="0.35">
      <c r="A24" s="236" t="s">
        <v>406</v>
      </c>
      <c r="B24" s="237"/>
      <c r="C24" s="237"/>
      <c r="D24" s="237"/>
      <c r="E24" s="237"/>
      <c r="F24" s="237"/>
      <c r="G24" s="237"/>
      <c r="H24" s="237"/>
      <c r="I24" s="237"/>
      <c r="J24" s="237"/>
      <c r="K24" s="237"/>
      <c r="L24" s="238"/>
    </row>
    <row r="25" spans="1:12" ht="72.5" customHeight="1" thickBot="1" x14ac:dyDescent="0.4">
      <c r="A25" s="224" t="s">
        <v>407</v>
      </c>
      <c r="B25" s="225"/>
      <c r="C25" s="225"/>
      <c r="D25" s="225"/>
      <c r="E25" s="225"/>
      <c r="F25" s="225"/>
      <c r="G25" s="225"/>
      <c r="H25" s="225"/>
      <c r="I25" s="225"/>
      <c r="J25" s="225"/>
      <c r="K25" s="225"/>
      <c r="L25" s="226"/>
    </row>
  </sheetData>
  <mergeCells count="19">
    <mergeCell ref="A20:L20"/>
    <mergeCell ref="A21:L21"/>
    <mergeCell ref="A24:L24"/>
    <mergeCell ref="A25:L25"/>
    <mergeCell ref="A13:L13"/>
    <mergeCell ref="A14:L14"/>
    <mergeCell ref="A15:L15"/>
    <mergeCell ref="A16:L16"/>
    <mergeCell ref="A17:L17"/>
    <mergeCell ref="A19:L19"/>
    <mergeCell ref="A11:L11"/>
    <mergeCell ref="A4:L4"/>
    <mergeCell ref="A8:L8"/>
    <mergeCell ref="A1:L1"/>
    <mergeCell ref="A2:L2"/>
    <mergeCell ref="A5:L5"/>
    <mergeCell ref="A6:L6"/>
    <mergeCell ref="A9:L9"/>
    <mergeCell ref="A10:L10"/>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P58"/>
  <sheetViews>
    <sheetView zoomScaleNormal="100" workbookViewId="0">
      <selection activeCell="C31" sqref="C31"/>
    </sheetView>
  </sheetViews>
  <sheetFormatPr baseColWidth="10" defaultRowHeight="14.5" x14ac:dyDescent="0.35"/>
  <cols>
    <col min="1" max="1" width="37.6328125" bestFit="1" customWidth="1"/>
    <col min="2" max="2" width="26.36328125" customWidth="1"/>
    <col min="3" max="3" width="11.81640625" bestFit="1" customWidth="1"/>
    <col min="5" max="6" width="10.90625" customWidth="1"/>
    <col min="8" max="8" width="24.36328125" customWidth="1"/>
    <col min="9" max="9" width="11.81640625" bestFit="1" customWidth="1"/>
    <col min="10" max="10" width="18.36328125" bestFit="1" customWidth="1"/>
    <col min="11" max="11" width="27.26953125" bestFit="1" customWidth="1"/>
    <col min="12" max="12" width="9.7265625" bestFit="1" customWidth="1"/>
    <col min="13" max="13" width="4.08984375" bestFit="1" customWidth="1"/>
    <col min="14" max="14" width="4.81640625" bestFit="1" customWidth="1"/>
    <col min="22" max="22" width="10.90625" customWidth="1"/>
  </cols>
  <sheetData>
    <row r="1" spans="1:94" x14ac:dyDescent="0.35">
      <c r="A1" s="75" t="s">
        <v>271</v>
      </c>
      <c r="B1" s="76"/>
      <c r="C1" s="76"/>
      <c r="D1" s="76"/>
      <c r="E1" s="76"/>
      <c r="F1" s="76"/>
      <c r="G1" s="76"/>
      <c r="H1" s="76"/>
      <c r="I1" s="76"/>
      <c r="J1" s="77"/>
    </row>
    <row r="2" spans="1:94" ht="14.5" customHeight="1" x14ac:dyDescent="0.35">
      <c r="A2" s="250" t="s">
        <v>361</v>
      </c>
      <c r="B2" s="251"/>
      <c r="C2" s="251"/>
      <c r="D2" s="251"/>
      <c r="E2" s="251"/>
      <c r="F2" s="251"/>
      <c r="G2" s="251"/>
      <c r="H2" s="251"/>
      <c r="I2" s="251"/>
      <c r="J2" s="252"/>
    </row>
    <row r="3" spans="1:94" x14ac:dyDescent="0.35">
      <c r="A3" s="250"/>
      <c r="B3" s="251"/>
      <c r="C3" s="251"/>
      <c r="D3" s="251"/>
      <c r="E3" s="251"/>
      <c r="F3" s="251"/>
      <c r="G3" s="251"/>
      <c r="H3" s="251"/>
      <c r="I3" s="251"/>
      <c r="J3" s="252"/>
      <c r="K3" s="248" t="s">
        <v>270</v>
      </c>
      <c r="L3" s="67" t="s">
        <v>266</v>
      </c>
      <c r="M3" s="67" t="s">
        <v>39</v>
      </c>
      <c r="N3" s="67"/>
      <c r="O3" s="68" t="e">
        <f t="shared" ref="O3:AH3" si="0">$I37*O15^$I40</f>
        <v>#DIV/0!</v>
      </c>
      <c r="P3" s="68" t="e">
        <f t="shared" si="0"/>
        <v>#DIV/0!</v>
      </c>
      <c r="Q3" s="68" t="e">
        <f t="shared" si="0"/>
        <v>#DIV/0!</v>
      </c>
      <c r="R3" s="68" t="e">
        <f t="shared" si="0"/>
        <v>#DIV/0!</v>
      </c>
      <c r="S3" s="68" t="e">
        <f t="shared" si="0"/>
        <v>#DIV/0!</v>
      </c>
      <c r="T3" s="68" t="e">
        <f t="shared" si="0"/>
        <v>#DIV/0!</v>
      </c>
      <c r="U3" s="68" t="e">
        <f t="shared" si="0"/>
        <v>#DIV/0!</v>
      </c>
      <c r="V3" s="68" t="e">
        <f t="shared" si="0"/>
        <v>#DIV/0!</v>
      </c>
      <c r="W3" s="68" t="e">
        <f t="shared" si="0"/>
        <v>#DIV/0!</v>
      </c>
      <c r="X3" s="68" t="e">
        <f t="shared" si="0"/>
        <v>#DIV/0!</v>
      </c>
      <c r="Y3" s="68" t="e">
        <f t="shared" si="0"/>
        <v>#DIV/0!</v>
      </c>
      <c r="Z3" s="68" t="e">
        <f t="shared" si="0"/>
        <v>#DIV/0!</v>
      </c>
      <c r="AA3" s="68" t="e">
        <f t="shared" si="0"/>
        <v>#DIV/0!</v>
      </c>
      <c r="AB3" s="68" t="e">
        <f t="shared" si="0"/>
        <v>#DIV/0!</v>
      </c>
      <c r="AC3" s="68" t="e">
        <f t="shared" si="0"/>
        <v>#DIV/0!</v>
      </c>
      <c r="AD3" s="68" t="e">
        <f t="shared" si="0"/>
        <v>#DIV/0!</v>
      </c>
      <c r="AE3" s="68" t="e">
        <f t="shared" si="0"/>
        <v>#DIV/0!</v>
      </c>
      <c r="AF3" s="68" t="e">
        <f t="shared" si="0"/>
        <v>#DIV/0!</v>
      </c>
      <c r="AG3" s="68" t="e">
        <f t="shared" si="0"/>
        <v>#DIV/0!</v>
      </c>
      <c r="AH3" s="68" t="e">
        <f t="shared" si="0"/>
        <v>#DIV/0!</v>
      </c>
      <c r="AI3" s="68" t="e">
        <f t="shared" ref="AI3:BN3" si="1">$C23*AI15^$C26</f>
        <v>#DIV/0!</v>
      </c>
      <c r="AJ3" s="68" t="e">
        <f t="shared" si="1"/>
        <v>#DIV/0!</v>
      </c>
      <c r="AK3" s="68" t="e">
        <f t="shared" si="1"/>
        <v>#DIV/0!</v>
      </c>
      <c r="AL3" s="68" t="e">
        <f t="shared" si="1"/>
        <v>#DIV/0!</v>
      </c>
      <c r="AM3" s="68" t="e">
        <f t="shared" si="1"/>
        <v>#DIV/0!</v>
      </c>
      <c r="AN3" s="68" t="e">
        <f t="shared" si="1"/>
        <v>#DIV/0!</v>
      </c>
      <c r="AO3" s="68" t="e">
        <f t="shared" si="1"/>
        <v>#DIV/0!</v>
      </c>
      <c r="AP3" s="68" t="e">
        <f t="shared" si="1"/>
        <v>#DIV/0!</v>
      </c>
      <c r="AQ3" s="68" t="e">
        <f t="shared" si="1"/>
        <v>#DIV/0!</v>
      </c>
      <c r="AR3" s="68" t="e">
        <f t="shared" si="1"/>
        <v>#DIV/0!</v>
      </c>
      <c r="AS3" s="68" t="e">
        <f t="shared" si="1"/>
        <v>#DIV/0!</v>
      </c>
      <c r="AT3" s="68" t="e">
        <f t="shared" si="1"/>
        <v>#DIV/0!</v>
      </c>
      <c r="AU3" s="68" t="e">
        <f t="shared" si="1"/>
        <v>#DIV/0!</v>
      </c>
      <c r="AV3" s="68" t="e">
        <f t="shared" si="1"/>
        <v>#DIV/0!</v>
      </c>
      <c r="AW3" s="68" t="e">
        <f t="shared" si="1"/>
        <v>#DIV/0!</v>
      </c>
      <c r="AX3" s="68" t="e">
        <f t="shared" si="1"/>
        <v>#DIV/0!</v>
      </c>
      <c r="AY3" s="68" t="e">
        <f t="shared" si="1"/>
        <v>#DIV/0!</v>
      </c>
      <c r="AZ3" s="68" t="e">
        <f t="shared" si="1"/>
        <v>#DIV/0!</v>
      </c>
      <c r="BA3" s="68" t="e">
        <f t="shared" si="1"/>
        <v>#DIV/0!</v>
      </c>
      <c r="BB3" s="68" t="e">
        <f t="shared" si="1"/>
        <v>#DIV/0!</v>
      </c>
      <c r="BC3" s="68" t="e">
        <f t="shared" si="1"/>
        <v>#DIV/0!</v>
      </c>
      <c r="BD3" s="68" t="e">
        <f t="shared" si="1"/>
        <v>#DIV/0!</v>
      </c>
      <c r="BE3" s="68" t="e">
        <f t="shared" si="1"/>
        <v>#DIV/0!</v>
      </c>
      <c r="BF3" s="68" t="e">
        <f t="shared" si="1"/>
        <v>#DIV/0!</v>
      </c>
      <c r="BG3" s="68" t="e">
        <f t="shared" si="1"/>
        <v>#DIV/0!</v>
      </c>
      <c r="BH3" s="68" t="e">
        <f t="shared" si="1"/>
        <v>#DIV/0!</v>
      </c>
      <c r="BI3" s="68" t="e">
        <f t="shared" si="1"/>
        <v>#DIV/0!</v>
      </c>
      <c r="BJ3" s="68" t="e">
        <f t="shared" si="1"/>
        <v>#DIV/0!</v>
      </c>
      <c r="BK3" s="68" t="e">
        <f t="shared" si="1"/>
        <v>#DIV/0!</v>
      </c>
      <c r="BL3" s="68" t="e">
        <f t="shared" si="1"/>
        <v>#DIV/0!</v>
      </c>
      <c r="BM3" s="68" t="e">
        <f t="shared" si="1"/>
        <v>#DIV/0!</v>
      </c>
      <c r="BN3" s="68" t="e">
        <f t="shared" si="1"/>
        <v>#DIV/0!</v>
      </c>
      <c r="BO3" s="68" t="e">
        <f t="shared" ref="BO3:CP3" si="2">$C23*BO15^$C26</f>
        <v>#DIV/0!</v>
      </c>
      <c r="BP3" s="68" t="e">
        <f t="shared" si="2"/>
        <v>#DIV/0!</v>
      </c>
      <c r="BQ3" s="68" t="e">
        <f t="shared" si="2"/>
        <v>#DIV/0!</v>
      </c>
      <c r="BR3" s="68" t="e">
        <f t="shared" si="2"/>
        <v>#DIV/0!</v>
      </c>
      <c r="BS3" s="68" t="e">
        <f t="shared" si="2"/>
        <v>#DIV/0!</v>
      </c>
      <c r="BT3" s="68" t="e">
        <f t="shared" si="2"/>
        <v>#DIV/0!</v>
      </c>
      <c r="BU3" s="68" t="e">
        <f t="shared" si="2"/>
        <v>#DIV/0!</v>
      </c>
      <c r="BV3" s="68" t="e">
        <f t="shared" si="2"/>
        <v>#DIV/0!</v>
      </c>
      <c r="BW3" s="68" t="e">
        <f t="shared" si="2"/>
        <v>#DIV/0!</v>
      </c>
      <c r="BX3" s="68" t="e">
        <f t="shared" si="2"/>
        <v>#DIV/0!</v>
      </c>
      <c r="BY3" s="68" t="e">
        <f t="shared" si="2"/>
        <v>#DIV/0!</v>
      </c>
      <c r="BZ3" s="68" t="e">
        <f t="shared" si="2"/>
        <v>#DIV/0!</v>
      </c>
      <c r="CA3" s="68" t="e">
        <f t="shared" si="2"/>
        <v>#DIV/0!</v>
      </c>
      <c r="CB3" s="68" t="e">
        <f t="shared" si="2"/>
        <v>#DIV/0!</v>
      </c>
      <c r="CC3" s="68" t="e">
        <f t="shared" si="2"/>
        <v>#DIV/0!</v>
      </c>
      <c r="CD3" s="68" t="e">
        <f t="shared" si="2"/>
        <v>#DIV/0!</v>
      </c>
      <c r="CE3" s="68" t="e">
        <f t="shared" si="2"/>
        <v>#DIV/0!</v>
      </c>
      <c r="CF3" s="68" t="e">
        <f t="shared" si="2"/>
        <v>#DIV/0!</v>
      </c>
      <c r="CG3" s="68" t="e">
        <f t="shared" si="2"/>
        <v>#DIV/0!</v>
      </c>
      <c r="CH3" s="68" t="e">
        <f t="shared" si="2"/>
        <v>#DIV/0!</v>
      </c>
      <c r="CI3" s="68" t="e">
        <f t="shared" si="2"/>
        <v>#DIV/0!</v>
      </c>
      <c r="CJ3" s="68" t="e">
        <f t="shared" si="2"/>
        <v>#DIV/0!</v>
      </c>
      <c r="CK3" s="68" t="e">
        <f t="shared" si="2"/>
        <v>#DIV/0!</v>
      </c>
      <c r="CL3" s="68" t="e">
        <f t="shared" si="2"/>
        <v>#DIV/0!</v>
      </c>
      <c r="CM3" s="68" t="e">
        <f t="shared" si="2"/>
        <v>#DIV/0!</v>
      </c>
      <c r="CN3" s="68" t="e">
        <f t="shared" si="2"/>
        <v>#DIV/0!</v>
      </c>
      <c r="CO3" s="68" t="e">
        <f t="shared" si="2"/>
        <v>#DIV/0!</v>
      </c>
      <c r="CP3" s="68" t="e">
        <f t="shared" si="2"/>
        <v>#DIV/0!</v>
      </c>
    </row>
    <row r="4" spans="1:94" x14ac:dyDescent="0.35">
      <c r="A4" s="250"/>
      <c r="B4" s="251"/>
      <c r="C4" s="251"/>
      <c r="D4" s="251"/>
      <c r="E4" s="251"/>
      <c r="F4" s="251"/>
      <c r="G4" s="251"/>
      <c r="H4" s="251"/>
      <c r="I4" s="251"/>
      <c r="J4" s="252"/>
      <c r="K4" s="248"/>
      <c r="L4" s="67" t="s">
        <v>267</v>
      </c>
      <c r="M4" s="67"/>
      <c r="N4" s="67"/>
      <c r="O4" s="69" t="e">
        <f t="shared" ref="O4:AT4" si="3">(O14-O3)^2</f>
        <v>#DIV/0!</v>
      </c>
      <c r="P4" s="69" t="e">
        <f t="shared" si="3"/>
        <v>#DIV/0!</v>
      </c>
      <c r="Q4" s="69" t="e">
        <f t="shared" si="3"/>
        <v>#DIV/0!</v>
      </c>
      <c r="R4" s="69" t="e">
        <f t="shared" si="3"/>
        <v>#DIV/0!</v>
      </c>
      <c r="S4" s="69" t="e">
        <f t="shared" si="3"/>
        <v>#DIV/0!</v>
      </c>
      <c r="T4" s="69" t="e">
        <f t="shared" si="3"/>
        <v>#DIV/0!</v>
      </c>
      <c r="U4" s="69" t="e">
        <f t="shared" si="3"/>
        <v>#DIV/0!</v>
      </c>
      <c r="V4" s="69" t="e">
        <f t="shared" si="3"/>
        <v>#DIV/0!</v>
      </c>
      <c r="W4" s="69" t="e">
        <f t="shared" si="3"/>
        <v>#DIV/0!</v>
      </c>
      <c r="X4" s="69" t="e">
        <f t="shared" si="3"/>
        <v>#DIV/0!</v>
      </c>
      <c r="Y4" s="69" t="e">
        <f t="shared" si="3"/>
        <v>#DIV/0!</v>
      </c>
      <c r="Z4" s="69" t="e">
        <f t="shared" si="3"/>
        <v>#DIV/0!</v>
      </c>
      <c r="AA4" s="69" t="e">
        <f t="shared" si="3"/>
        <v>#DIV/0!</v>
      </c>
      <c r="AB4" s="69" t="e">
        <f t="shared" si="3"/>
        <v>#DIV/0!</v>
      </c>
      <c r="AC4" s="69" t="e">
        <f t="shared" si="3"/>
        <v>#DIV/0!</v>
      </c>
      <c r="AD4" s="69" t="e">
        <f t="shared" si="3"/>
        <v>#DIV/0!</v>
      </c>
      <c r="AE4" s="69" t="e">
        <f t="shared" si="3"/>
        <v>#DIV/0!</v>
      </c>
      <c r="AF4" s="69" t="e">
        <f t="shared" si="3"/>
        <v>#DIV/0!</v>
      </c>
      <c r="AG4" s="69" t="e">
        <f t="shared" si="3"/>
        <v>#DIV/0!</v>
      </c>
      <c r="AH4" s="69" t="e">
        <f t="shared" si="3"/>
        <v>#DIV/0!</v>
      </c>
      <c r="AI4" s="69" t="e">
        <f t="shared" si="3"/>
        <v>#DIV/0!</v>
      </c>
      <c r="AJ4" s="69" t="e">
        <f t="shared" si="3"/>
        <v>#DIV/0!</v>
      </c>
      <c r="AK4" s="69" t="e">
        <f t="shared" si="3"/>
        <v>#DIV/0!</v>
      </c>
      <c r="AL4" s="69" t="e">
        <f t="shared" si="3"/>
        <v>#DIV/0!</v>
      </c>
      <c r="AM4" s="69" t="e">
        <f t="shared" si="3"/>
        <v>#DIV/0!</v>
      </c>
      <c r="AN4" s="69" t="e">
        <f t="shared" si="3"/>
        <v>#DIV/0!</v>
      </c>
      <c r="AO4" s="69" t="e">
        <f t="shared" si="3"/>
        <v>#DIV/0!</v>
      </c>
      <c r="AP4" s="69" t="e">
        <f t="shared" si="3"/>
        <v>#DIV/0!</v>
      </c>
      <c r="AQ4" s="69" t="e">
        <f t="shared" si="3"/>
        <v>#DIV/0!</v>
      </c>
      <c r="AR4" s="69" t="e">
        <f t="shared" si="3"/>
        <v>#DIV/0!</v>
      </c>
      <c r="AS4" s="69" t="e">
        <f t="shared" si="3"/>
        <v>#DIV/0!</v>
      </c>
      <c r="AT4" s="69" t="e">
        <f t="shared" si="3"/>
        <v>#DIV/0!</v>
      </c>
      <c r="AU4" s="69" t="e">
        <f t="shared" ref="AU4:BZ4" si="4">(AU14-AU3)^2</f>
        <v>#DIV/0!</v>
      </c>
      <c r="AV4" s="69" t="e">
        <f t="shared" si="4"/>
        <v>#DIV/0!</v>
      </c>
      <c r="AW4" s="69" t="e">
        <f t="shared" si="4"/>
        <v>#DIV/0!</v>
      </c>
      <c r="AX4" s="69" t="e">
        <f t="shared" si="4"/>
        <v>#DIV/0!</v>
      </c>
      <c r="AY4" s="69" t="e">
        <f t="shared" si="4"/>
        <v>#DIV/0!</v>
      </c>
      <c r="AZ4" s="69" t="e">
        <f t="shared" si="4"/>
        <v>#DIV/0!</v>
      </c>
      <c r="BA4" s="69" t="e">
        <f t="shared" si="4"/>
        <v>#DIV/0!</v>
      </c>
      <c r="BB4" s="69" t="e">
        <f t="shared" si="4"/>
        <v>#DIV/0!</v>
      </c>
      <c r="BC4" s="69" t="e">
        <f t="shared" si="4"/>
        <v>#DIV/0!</v>
      </c>
      <c r="BD4" s="69" t="e">
        <f t="shared" si="4"/>
        <v>#DIV/0!</v>
      </c>
      <c r="BE4" s="69" t="e">
        <f t="shared" si="4"/>
        <v>#DIV/0!</v>
      </c>
      <c r="BF4" s="69" t="e">
        <f t="shared" si="4"/>
        <v>#DIV/0!</v>
      </c>
      <c r="BG4" s="69" t="e">
        <f t="shared" si="4"/>
        <v>#DIV/0!</v>
      </c>
      <c r="BH4" s="69" t="e">
        <f t="shared" si="4"/>
        <v>#DIV/0!</v>
      </c>
      <c r="BI4" s="69" t="e">
        <f t="shared" si="4"/>
        <v>#DIV/0!</v>
      </c>
      <c r="BJ4" s="69" t="e">
        <f t="shared" si="4"/>
        <v>#DIV/0!</v>
      </c>
      <c r="BK4" s="69" t="e">
        <f t="shared" si="4"/>
        <v>#DIV/0!</v>
      </c>
      <c r="BL4" s="69" t="e">
        <f t="shared" si="4"/>
        <v>#DIV/0!</v>
      </c>
      <c r="BM4" s="69" t="e">
        <f t="shared" si="4"/>
        <v>#DIV/0!</v>
      </c>
      <c r="BN4" s="69" t="e">
        <f t="shared" si="4"/>
        <v>#DIV/0!</v>
      </c>
      <c r="BO4" s="69" t="e">
        <f t="shared" si="4"/>
        <v>#DIV/0!</v>
      </c>
      <c r="BP4" s="69" t="e">
        <f t="shared" si="4"/>
        <v>#DIV/0!</v>
      </c>
      <c r="BQ4" s="69" t="e">
        <f t="shared" si="4"/>
        <v>#DIV/0!</v>
      </c>
      <c r="BR4" s="69" t="e">
        <f t="shared" si="4"/>
        <v>#DIV/0!</v>
      </c>
      <c r="BS4" s="69" t="e">
        <f t="shared" si="4"/>
        <v>#DIV/0!</v>
      </c>
      <c r="BT4" s="69" t="e">
        <f t="shared" si="4"/>
        <v>#DIV/0!</v>
      </c>
      <c r="BU4" s="69" t="e">
        <f t="shared" si="4"/>
        <v>#DIV/0!</v>
      </c>
      <c r="BV4" s="69" t="e">
        <f t="shared" si="4"/>
        <v>#DIV/0!</v>
      </c>
      <c r="BW4" s="69" t="e">
        <f t="shared" si="4"/>
        <v>#DIV/0!</v>
      </c>
      <c r="BX4" s="69" t="e">
        <f t="shared" si="4"/>
        <v>#DIV/0!</v>
      </c>
      <c r="BY4" s="69" t="e">
        <f t="shared" si="4"/>
        <v>#DIV/0!</v>
      </c>
      <c r="BZ4" s="69" t="e">
        <f t="shared" si="4"/>
        <v>#DIV/0!</v>
      </c>
      <c r="CA4" s="69" t="e">
        <f t="shared" ref="CA4:CP4" si="5">(CA14-CA3)^2</f>
        <v>#DIV/0!</v>
      </c>
      <c r="CB4" s="69" t="e">
        <f t="shared" si="5"/>
        <v>#DIV/0!</v>
      </c>
      <c r="CC4" s="69" t="e">
        <f t="shared" si="5"/>
        <v>#DIV/0!</v>
      </c>
      <c r="CD4" s="69" t="e">
        <f t="shared" si="5"/>
        <v>#DIV/0!</v>
      </c>
      <c r="CE4" s="69" t="e">
        <f t="shared" si="5"/>
        <v>#DIV/0!</v>
      </c>
      <c r="CF4" s="69" t="e">
        <f t="shared" si="5"/>
        <v>#DIV/0!</v>
      </c>
      <c r="CG4" s="69" t="e">
        <f t="shared" si="5"/>
        <v>#DIV/0!</v>
      </c>
      <c r="CH4" s="69" t="e">
        <f t="shared" si="5"/>
        <v>#DIV/0!</v>
      </c>
      <c r="CI4" s="69" t="e">
        <f t="shared" si="5"/>
        <v>#DIV/0!</v>
      </c>
      <c r="CJ4" s="69" t="e">
        <f t="shared" si="5"/>
        <v>#DIV/0!</v>
      </c>
      <c r="CK4" s="69" t="e">
        <f t="shared" si="5"/>
        <v>#DIV/0!</v>
      </c>
      <c r="CL4" s="69" t="e">
        <f t="shared" si="5"/>
        <v>#DIV/0!</v>
      </c>
      <c r="CM4" s="69" t="e">
        <f t="shared" si="5"/>
        <v>#DIV/0!</v>
      </c>
      <c r="CN4" s="69" t="e">
        <f t="shared" si="5"/>
        <v>#DIV/0!</v>
      </c>
      <c r="CO4" s="69" t="e">
        <f t="shared" si="5"/>
        <v>#DIV/0!</v>
      </c>
      <c r="CP4" s="69" t="e">
        <f t="shared" si="5"/>
        <v>#DIV/0!</v>
      </c>
    </row>
    <row r="5" spans="1:94" ht="15" thickBot="1" x14ac:dyDescent="0.4">
      <c r="A5" s="253"/>
      <c r="B5" s="254"/>
      <c r="C5" s="254"/>
      <c r="D5" s="254"/>
      <c r="E5" s="254"/>
      <c r="F5" s="254"/>
      <c r="G5" s="254"/>
      <c r="H5" s="254"/>
      <c r="I5" s="254"/>
      <c r="J5" s="255"/>
      <c r="K5" s="248"/>
      <c r="L5" s="67" t="s">
        <v>268</v>
      </c>
      <c r="M5" s="67" t="s">
        <v>41</v>
      </c>
      <c r="N5" s="67"/>
      <c r="O5" s="68" t="e">
        <f t="shared" ref="O5:AH5" si="6">$I23*O15^$I26</f>
        <v>#DIV/0!</v>
      </c>
      <c r="P5" s="68" t="e">
        <f t="shared" si="6"/>
        <v>#DIV/0!</v>
      </c>
      <c r="Q5" s="68" t="e">
        <f t="shared" si="6"/>
        <v>#DIV/0!</v>
      </c>
      <c r="R5" s="68" t="e">
        <f t="shared" si="6"/>
        <v>#DIV/0!</v>
      </c>
      <c r="S5" s="68" t="e">
        <f t="shared" si="6"/>
        <v>#DIV/0!</v>
      </c>
      <c r="T5" s="68" t="e">
        <f t="shared" si="6"/>
        <v>#DIV/0!</v>
      </c>
      <c r="U5" s="68" t="e">
        <f t="shared" si="6"/>
        <v>#DIV/0!</v>
      </c>
      <c r="V5" s="68" t="e">
        <f t="shared" si="6"/>
        <v>#DIV/0!</v>
      </c>
      <c r="W5" s="68" t="e">
        <f t="shared" si="6"/>
        <v>#DIV/0!</v>
      </c>
      <c r="X5" s="68" t="e">
        <f t="shared" si="6"/>
        <v>#DIV/0!</v>
      </c>
      <c r="Y5" s="68" t="e">
        <f t="shared" si="6"/>
        <v>#DIV/0!</v>
      </c>
      <c r="Z5" s="68" t="e">
        <f t="shared" si="6"/>
        <v>#DIV/0!</v>
      </c>
      <c r="AA5" s="68" t="e">
        <f t="shared" si="6"/>
        <v>#DIV/0!</v>
      </c>
      <c r="AB5" s="68" t="e">
        <f t="shared" si="6"/>
        <v>#DIV/0!</v>
      </c>
      <c r="AC5" s="68" t="e">
        <f t="shared" si="6"/>
        <v>#DIV/0!</v>
      </c>
      <c r="AD5" s="68" t="e">
        <f t="shared" si="6"/>
        <v>#DIV/0!</v>
      </c>
      <c r="AE5" s="68" t="e">
        <f t="shared" si="6"/>
        <v>#DIV/0!</v>
      </c>
      <c r="AF5" s="68" t="e">
        <f t="shared" si="6"/>
        <v>#DIV/0!</v>
      </c>
      <c r="AG5" s="68" t="e">
        <f t="shared" si="6"/>
        <v>#DIV/0!</v>
      </c>
      <c r="AH5" s="68" t="e">
        <f t="shared" si="6"/>
        <v>#DIV/0!</v>
      </c>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row>
    <row r="6" spans="1:94" x14ac:dyDescent="0.35">
      <c r="A6" s="13"/>
      <c r="B6" s="13"/>
      <c r="C6" s="13"/>
      <c r="D6" s="13"/>
      <c r="E6" s="13"/>
      <c r="F6" s="13"/>
      <c r="G6" s="13"/>
      <c r="H6" s="13"/>
      <c r="J6" s="78"/>
      <c r="K6" s="249"/>
      <c r="L6" s="72" t="s">
        <v>267</v>
      </c>
      <c r="M6" s="72"/>
      <c r="N6" s="72"/>
      <c r="O6" s="73" t="e">
        <f t="shared" ref="O6:AH6" si="7">(O16-O5)^2</f>
        <v>#DIV/0!</v>
      </c>
      <c r="P6" s="73" t="e">
        <f t="shared" si="7"/>
        <v>#DIV/0!</v>
      </c>
      <c r="Q6" s="73" t="e">
        <f t="shared" si="7"/>
        <v>#DIV/0!</v>
      </c>
      <c r="R6" s="73" t="e">
        <f t="shared" si="7"/>
        <v>#DIV/0!</v>
      </c>
      <c r="S6" s="73" t="e">
        <f t="shared" si="7"/>
        <v>#DIV/0!</v>
      </c>
      <c r="T6" s="73" t="e">
        <f t="shared" si="7"/>
        <v>#DIV/0!</v>
      </c>
      <c r="U6" s="73" t="e">
        <f t="shared" si="7"/>
        <v>#DIV/0!</v>
      </c>
      <c r="V6" s="73" t="e">
        <f t="shared" si="7"/>
        <v>#DIV/0!</v>
      </c>
      <c r="W6" s="73" t="e">
        <f t="shared" si="7"/>
        <v>#DIV/0!</v>
      </c>
      <c r="X6" s="73" t="e">
        <f t="shared" si="7"/>
        <v>#DIV/0!</v>
      </c>
      <c r="Y6" s="73" t="e">
        <f t="shared" si="7"/>
        <v>#DIV/0!</v>
      </c>
      <c r="Z6" s="73" t="e">
        <f t="shared" si="7"/>
        <v>#DIV/0!</v>
      </c>
      <c r="AA6" s="73" t="e">
        <f t="shared" si="7"/>
        <v>#DIV/0!</v>
      </c>
      <c r="AB6" s="73" t="e">
        <f t="shared" si="7"/>
        <v>#DIV/0!</v>
      </c>
      <c r="AC6" s="73" t="e">
        <f t="shared" si="7"/>
        <v>#DIV/0!</v>
      </c>
      <c r="AD6" s="73" t="e">
        <f t="shared" si="7"/>
        <v>#DIV/0!</v>
      </c>
      <c r="AE6" s="73" t="e">
        <f t="shared" si="7"/>
        <v>#DIV/0!</v>
      </c>
      <c r="AF6" s="73" t="e">
        <f t="shared" si="7"/>
        <v>#DIV/0!</v>
      </c>
      <c r="AG6" s="73" t="e">
        <f t="shared" si="7"/>
        <v>#DIV/0!</v>
      </c>
      <c r="AH6" s="73" t="e">
        <f t="shared" si="7"/>
        <v>#DIV/0!</v>
      </c>
      <c r="AI6" s="73"/>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row>
    <row r="7" spans="1:94" x14ac:dyDescent="0.35">
      <c r="A7" s="1" t="s">
        <v>122</v>
      </c>
      <c r="J7" s="1" t="s">
        <v>123</v>
      </c>
      <c r="O7" s="23">
        <v>1.2500000000000001E-2</v>
      </c>
      <c r="P7" s="23">
        <v>2.5000000000000001E-2</v>
      </c>
      <c r="Q7" s="23">
        <v>3.7499999999999999E-2</v>
      </c>
      <c r="R7" s="23">
        <v>0.05</v>
      </c>
      <c r="S7" s="23">
        <v>6.25E-2</v>
      </c>
      <c r="T7" s="23">
        <v>7.4999999999999997E-2</v>
      </c>
      <c r="U7" s="23">
        <v>8.7499999999999994E-2</v>
      </c>
      <c r="V7" s="23">
        <v>0.1</v>
      </c>
      <c r="W7" s="23">
        <v>0.1125</v>
      </c>
      <c r="X7" s="23">
        <v>0.125</v>
      </c>
      <c r="Y7" s="23">
        <v>0.13750000000000001</v>
      </c>
      <c r="Z7" s="23">
        <v>0.15</v>
      </c>
      <c r="AA7" s="23">
        <v>0.16250000000000001</v>
      </c>
      <c r="AB7" s="23">
        <v>0.17499999999999999</v>
      </c>
      <c r="AC7" s="23">
        <v>0.1875</v>
      </c>
      <c r="AD7" s="23">
        <v>0.2</v>
      </c>
      <c r="AE7" s="23">
        <v>0.21249999999999999</v>
      </c>
      <c r="AF7" s="23">
        <v>0.22500000000000001</v>
      </c>
      <c r="AG7" s="23">
        <v>0.23749999999999999</v>
      </c>
      <c r="AH7" s="23">
        <v>0.25</v>
      </c>
      <c r="AI7" s="23">
        <v>0.26250000000000001</v>
      </c>
      <c r="AJ7" s="23">
        <v>0.27500000000000002</v>
      </c>
      <c r="AK7" s="23">
        <v>0.28749999999999998</v>
      </c>
      <c r="AL7" s="23">
        <v>0.3</v>
      </c>
      <c r="AM7" s="23">
        <v>0.3125</v>
      </c>
      <c r="AN7" s="23">
        <v>0.32500000000000001</v>
      </c>
      <c r="AO7" s="23">
        <v>0.33750000000000002</v>
      </c>
      <c r="AP7" s="23">
        <v>0.35</v>
      </c>
      <c r="AQ7" s="23">
        <v>0.36249999999999999</v>
      </c>
      <c r="AR7" s="23">
        <v>0.375</v>
      </c>
      <c r="AS7" s="23">
        <v>0.38750000000000001</v>
      </c>
      <c r="AT7" s="23">
        <v>0.4</v>
      </c>
      <c r="AU7" s="23">
        <v>0.41249999999999998</v>
      </c>
      <c r="AV7" s="23">
        <v>0.42499999999999999</v>
      </c>
      <c r="AW7" s="23">
        <v>0.4375</v>
      </c>
      <c r="AX7" s="23">
        <v>0.45</v>
      </c>
      <c r="AY7" s="23">
        <v>0.46250000000000002</v>
      </c>
      <c r="AZ7" s="23">
        <v>0.47499999999999998</v>
      </c>
      <c r="BA7" s="23">
        <v>0.48749999999999999</v>
      </c>
      <c r="BB7" s="23">
        <v>0.5</v>
      </c>
      <c r="BC7" s="23">
        <v>0.51249999999999996</v>
      </c>
      <c r="BD7" s="23">
        <v>0.52500000000000002</v>
      </c>
      <c r="BE7" s="23">
        <v>0.53749999999999998</v>
      </c>
      <c r="BF7" s="23">
        <v>0.55000000000000004</v>
      </c>
      <c r="BG7" s="23">
        <v>0.5625</v>
      </c>
      <c r="BH7" s="23">
        <v>0.57499999999999996</v>
      </c>
      <c r="BI7" s="23">
        <v>0.58750000000000002</v>
      </c>
      <c r="BJ7" s="23">
        <v>0.6</v>
      </c>
      <c r="BK7" s="23">
        <v>0.61250000000000004</v>
      </c>
      <c r="BL7" s="23">
        <v>0.625</v>
      </c>
      <c r="BM7" s="23">
        <v>0.63749999999999996</v>
      </c>
      <c r="BN7" s="23">
        <v>0.65</v>
      </c>
      <c r="BO7" s="23">
        <v>0.66249999999999998</v>
      </c>
      <c r="BP7" s="23">
        <v>0.67500000000000004</v>
      </c>
      <c r="BQ7" s="23">
        <v>0.6875</v>
      </c>
      <c r="BR7" s="23">
        <v>0.7</v>
      </c>
      <c r="BS7" s="23">
        <v>0.71250000000000002</v>
      </c>
      <c r="BT7" s="23">
        <v>0.72499999999999998</v>
      </c>
      <c r="BU7" s="23">
        <v>0.73750000000000004</v>
      </c>
      <c r="BV7" s="23">
        <v>0.75</v>
      </c>
      <c r="BW7" s="23">
        <v>0.76249999999999996</v>
      </c>
      <c r="BX7" s="23">
        <v>0.77500000000000002</v>
      </c>
      <c r="BY7" s="23">
        <v>0.78749999999999998</v>
      </c>
      <c r="BZ7" s="23">
        <v>0.8</v>
      </c>
      <c r="CA7" s="23">
        <v>0.8125</v>
      </c>
      <c r="CB7" s="23">
        <v>0.82499999999999996</v>
      </c>
      <c r="CC7" s="23">
        <v>0.83750000000000002</v>
      </c>
      <c r="CD7" s="23">
        <v>0.85</v>
      </c>
      <c r="CE7" s="23">
        <v>0.86250000000000004</v>
      </c>
      <c r="CF7" s="23">
        <v>0.875</v>
      </c>
      <c r="CG7" s="23">
        <v>0.88749999999999996</v>
      </c>
      <c r="CH7" s="23">
        <v>0.9</v>
      </c>
      <c r="CI7" s="23">
        <v>0.91249999999999998</v>
      </c>
      <c r="CJ7" s="23">
        <v>0.92500000000000004</v>
      </c>
      <c r="CK7" s="23">
        <v>0.9375</v>
      </c>
      <c r="CL7" s="23">
        <v>0.95</v>
      </c>
      <c r="CM7" s="23">
        <v>0.96250000000000002</v>
      </c>
      <c r="CN7" s="23">
        <v>0.97499999999999998</v>
      </c>
      <c r="CO7" s="23">
        <v>0.98750000000000004</v>
      </c>
      <c r="CP7" s="23">
        <v>1</v>
      </c>
    </row>
    <row r="8" spans="1:94" ht="15" thickBot="1" x14ac:dyDescent="0.4">
      <c r="A8" s="1" t="s">
        <v>0</v>
      </c>
      <c r="J8" s="39" t="s">
        <v>72</v>
      </c>
      <c r="K8" s="39" t="s">
        <v>250</v>
      </c>
      <c r="L8" s="39" t="s">
        <v>251</v>
      </c>
      <c r="M8" s="54" t="s">
        <v>41</v>
      </c>
      <c r="N8" s="40"/>
      <c r="O8" s="55">
        <f>O7*$D12</f>
        <v>0</v>
      </c>
      <c r="P8" s="55">
        <f t="shared" ref="P8:AT8" si="8">P7*$D12</f>
        <v>0</v>
      </c>
      <c r="Q8" s="55">
        <f t="shared" si="8"/>
        <v>0</v>
      </c>
      <c r="R8" s="55">
        <f t="shared" si="8"/>
        <v>0</v>
      </c>
      <c r="S8" s="55">
        <f t="shared" si="8"/>
        <v>0</v>
      </c>
      <c r="T8" s="55">
        <f t="shared" si="8"/>
        <v>0</v>
      </c>
      <c r="U8" s="55">
        <f t="shared" si="8"/>
        <v>0</v>
      </c>
      <c r="V8" s="55">
        <f t="shared" si="8"/>
        <v>0</v>
      </c>
      <c r="W8" s="55">
        <f t="shared" si="8"/>
        <v>0</v>
      </c>
      <c r="X8" s="55">
        <f t="shared" si="8"/>
        <v>0</v>
      </c>
      <c r="Y8" s="55">
        <f t="shared" si="8"/>
        <v>0</v>
      </c>
      <c r="Z8" s="55">
        <f t="shared" si="8"/>
        <v>0</v>
      </c>
      <c r="AA8" s="55">
        <f t="shared" si="8"/>
        <v>0</v>
      </c>
      <c r="AB8" s="55">
        <f t="shared" si="8"/>
        <v>0</v>
      </c>
      <c r="AC8" s="55">
        <f t="shared" si="8"/>
        <v>0</v>
      </c>
      <c r="AD8" s="55">
        <f t="shared" si="8"/>
        <v>0</v>
      </c>
      <c r="AE8" s="55">
        <f t="shared" si="8"/>
        <v>0</v>
      </c>
      <c r="AF8" s="55">
        <f t="shared" si="8"/>
        <v>0</v>
      </c>
      <c r="AG8" s="55">
        <f t="shared" si="8"/>
        <v>0</v>
      </c>
      <c r="AH8" s="55">
        <f t="shared" si="8"/>
        <v>0</v>
      </c>
      <c r="AI8" s="55">
        <f t="shared" si="8"/>
        <v>0</v>
      </c>
      <c r="AJ8" s="55">
        <f t="shared" si="8"/>
        <v>0</v>
      </c>
      <c r="AK8" s="55">
        <f t="shared" si="8"/>
        <v>0</v>
      </c>
      <c r="AL8" s="55">
        <f t="shared" si="8"/>
        <v>0</v>
      </c>
      <c r="AM8" s="55">
        <f t="shared" si="8"/>
        <v>0</v>
      </c>
      <c r="AN8" s="55">
        <f t="shared" si="8"/>
        <v>0</v>
      </c>
      <c r="AO8" s="55">
        <f t="shared" si="8"/>
        <v>0</v>
      </c>
      <c r="AP8" s="55">
        <f t="shared" si="8"/>
        <v>0</v>
      </c>
      <c r="AQ8" s="55">
        <f t="shared" si="8"/>
        <v>0</v>
      </c>
      <c r="AR8" s="55">
        <f t="shared" si="8"/>
        <v>0</v>
      </c>
      <c r="AS8" s="55">
        <f t="shared" si="8"/>
        <v>0</v>
      </c>
      <c r="AT8" s="55">
        <f t="shared" si="8"/>
        <v>0</v>
      </c>
      <c r="AU8" s="55">
        <f t="shared" ref="AU8:BZ8" si="9">AU7*$D12</f>
        <v>0</v>
      </c>
      <c r="AV8" s="55">
        <f t="shared" si="9"/>
        <v>0</v>
      </c>
      <c r="AW8" s="55">
        <f t="shared" si="9"/>
        <v>0</v>
      </c>
      <c r="AX8" s="55">
        <f t="shared" si="9"/>
        <v>0</v>
      </c>
      <c r="AY8" s="55">
        <f t="shared" si="9"/>
        <v>0</v>
      </c>
      <c r="AZ8" s="55">
        <f t="shared" si="9"/>
        <v>0</v>
      </c>
      <c r="BA8" s="55">
        <f t="shared" si="9"/>
        <v>0</v>
      </c>
      <c r="BB8" s="55">
        <f t="shared" si="9"/>
        <v>0</v>
      </c>
      <c r="BC8" s="55">
        <f t="shared" si="9"/>
        <v>0</v>
      </c>
      <c r="BD8" s="55">
        <f t="shared" si="9"/>
        <v>0</v>
      </c>
      <c r="BE8" s="55">
        <f t="shared" si="9"/>
        <v>0</v>
      </c>
      <c r="BF8" s="55">
        <f t="shared" si="9"/>
        <v>0</v>
      </c>
      <c r="BG8" s="55">
        <f t="shared" si="9"/>
        <v>0</v>
      </c>
      <c r="BH8" s="55">
        <f t="shared" si="9"/>
        <v>0</v>
      </c>
      <c r="BI8" s="55">
        <f t="shared" si="9"/>
        <v>0</v>
      </c>
      <c r="BJ8" s="55">
        <f t="shared" si="9"/>
        <v>0</v>
      </c>
      <c r="BK8" s="55">
        <f t="shared" si="9"/>
        <v>0</v>
      </c>
      <c r="BL8" s="55">
        <f t="shared" si="9"/>
        <v>0</v>
      </c>
      <c r="BM8" s="55">
        <f t="shared" si="9"/>
        <v>0</v>
      </c>
      <c r="BN8" s="55">
        <f t="shared" si="9"/>
        <v>0</v>
      </c>
      <c r="BO8" s="55">
        <f t="shared" si="9"/>
        <v>0</v>
      </c>
      <c r="BP8" s="55">
        <f t="shared" si="9"/>
        <v>0</v>
      </c>
      <c r="BQ8" s="55">
        <f t="shared" si="9"/>
        <v>0</v>
      </c>
      <c r="BR8" s="55">
        <f t="shared" si="9"/>
        <v>0</v>
      </c>
      <c r="BS8" s="55">
        <f t="shared" si="9"/>
        <v>0</v>
      </c>
      <c r="BT8" s="55">
        <f t="shared" si="9"/>
        <v>0</v>
      </c>
      <c r="BU8" s="55">
        <f t="shared" si="9"/>
        <v>0</v>
      </c>
      <c r="BV8" s="55">
        <f t="shared" si="9"/>
        <v>0</v>
      </c>
      <c r="BW8" s="55">
        <f t="shared" si="9"/>
        <v>0</v>
      </c>
      <c r="BX8" s="55">
        <f t="shared" si="9"/>
        <v>0</v>
      </c>
      <c r="BY8" s="55">
        <f t="shared" si="9"/>
        <v>0</v>
      </c>
      <c r="BZ8" s="55">
        <f t="shared" si="9"/>
        <v>0</v>
      </c>
      <c r="CA8" s="55">
        <f t="shared" ref="CA8:CP8" si="10">CA7*$D12</f>
        <v>0</v>
      </c>
      <c r="CB8" s="55">
        <f t="shared" si="10"/>
        <v>0</v>
      </c>
      <c r="CC8" s="55">
        <f t="shared" si="10"/>
        <v>0</v>
      </c>
      <c r="CD8" s="55">
        <f t="shared" si="10"/>
        <v>0</v>
      </c>
      <c r="CE8" s="55">
        <f t="shared" si="10"/>
        <v>0</v>
      </c>
      <c r="CF8" s="55">
        <f t="shared" si="10"/>
        <v>0</v>
      </c>
      <c r="CG8" s="55">
        <f t="shared" si="10"/>
        <v>0</v>
      </c>
      <c r="CH8" s="55">
        <f t="shared" si="10"/>
        <v>0</v>
      </c>
      <c r="CI8" s="55">
        <f t="shared" si="10"/>
        <v>0</v>
      </c>
      <c r="CJ8" s="55">
        <f t="shared" si="10"/>
        <v>0</v>
      </c>
      <c r="CK8" s="55">
        <f t="shared" si="10"/>
        <v>0</v>
      </c>
      <c r="CL8" s="55">
        <f t="shared" si="10"/>
        <v>0</v>
      </c>
      <c r="CM8" s="55">
        <f t="shared" si="10"/>
        <v>0</v>
      </c>
      <c r="CN8" s="55">
        <f t="shared" si="10"/>
        <v>0</v>
      </c>
      <c r="CO8" s="55">
        <f t="shared" si="10"/>
        <v>0</v>
      </c>
      <c r="CP8" s="55">
        <f t="shared" si="10"/>
        <v>0</v>
      </c>
    </row>
    <row r="9" spans="1:94" ht="15" thickBot="1" x14ac:dyDescent="0.4">
      <c r="A9" s="2" t="s">
        <v>15</v>
      </c>
      <c r="B9" s="2" t="s">
        <v>16</v>
      </c>
      <c r="C9" s="89" t="s">
        <v>17</v>
      </c>
      <c r="D9" s="198"/>
      <c r="E9" s="90" t="s">
        <v>18</v>
      </c>
      <c r="F9" s="3"/>
      <c r="J9" s="2" t="s">
        <v>249</v>
      </c>
      <c r="K9" s="2" t="s">
        <v>218</v>
      </c>
      <c r="L9" s="2" t="s">
        <v>224</v>
      </c>
      <c r="M9" s="2" t="s">
        <v>41</v>
      </c>
      <c r="N9" s="3"/>
      <c r="O9" s="22">
        <f t="shared" ref="O9:AT9" si="11">MIN(O8,$D12)</f>
        <v>0</v>
      </c>
      <c r="P9" s="22">
        <f t="shared" si="11"/>
        <v>0</v>
      </c>
      <c r="Q9" s="22">
        <f t="shared" si="11"/>
        <v>0</v>
      </c>
      <c r="R9" s="22">
        <f t="shared" si="11"/>
        <v>0</v>
      </c>
      <c r="S9" s="22">
        <f t="shared" si="11"/>
        <v>0</v>
      </c>
      <c r="T9" s="22">
        <f t="shared" si="11"/>
        <v>0</v>
      </c>
      <c r="U9" s="22">
        <f t="shared" si="11"/>
        <v>0</v>
      </c>
      <c r="V9" s="22">
        <f t="shared" si="11"/>
        <v>0</v>
      </c>
      <c r="W9" s="22">
        <f t="shared" si="11"/>
        <v>0</v>
      </c>
      <c r="X9" s="22">
        <f t="shared" si="11"/>
        <v>0</v>
      </c>
      <c r="Y9" s="22">
        <f t="shared" si="11"/>
        <v>0</v>
      </c>
      <c r="Z9" s="22">
        <f t="shared" si="11"/>
        <v>0</v>
      </c>
      <c r="AA9" s="22">
        <f t="shared" si="11"/>
        <v>0</v>
      </c>
      <c r="AB9" s="22">
        <f t="shared" si="11"/>
        <v>0</v>
      </c>
      <c r="AC9" s="22">
        <f t="shared" si="11"/>
        <v>0</v>
      </c>
      <c r="AD9" s="22">
        <f t="shared" si="11"/>
        <v>0</v>
      </c>
      <c r="AE9" s="22">
        <f t="shared" si="11"/>
        <v>0</v>
      </c>
      <c r="AF9" s="22">
        <f t="shared" si="11"/>
        <v>0</v>
      </c>
      <c r="AG9" s="22">
        <f t="shared" si="11"/>
        <v>0</v>
      </c>
      <c r="AH9" s="22">
        <f t="shared" si="11"/>
        <v>0</v>
      </c>
      <c r="AI9" s="22">
        <f t="shared" si="11"/>
        <v>0</v>
      </c>
      <c r="AJ9" s="22">
        <f t="shared" si="11"/>
        <v>0</v>
      </c>
      <c r="AK9" s="22">
        <f t="shared" si="11"/>
        <v>0</v>
      </c>
      <c r="AL9" s="22">
        <f t="shared" si="11"/>
        <v>0</v>
      </c>
      <c r="AM9" s="22">
        <f t="shared" si="11"/>
        <v>0</v>
      </c>
      <c r="AN9" s="22">
        <f t="shared" si="11"/>
        <v>0</v>
      </c>
      <c r="AO9" s="22">
        <f t="shared" si="11"/>
        <v>0</v>
      </c>
      <c r="AP9" s="22">
        <f t="shared" si="11"/>
        <v>0</v>
      </c>
      <c r="AQ9" s="22">
        <f t="shared" si="11"/>
        <v>0</v>
      </c>
      <c r="AR9" s="22">
        <f t="shared" si="11"/>
        <v>0</v>
      </c>
      <c r="AS9" s="22">
        <f t="shared" si="11"/>
        <v>0</v>
      </c>
      <c r="AT9" s="22">
        <f t="shared" si="11"/>
        <v>0</v>
      </c>
      <c r="AU9" s="22">
        <f t="shared" ref="AU9:BZ9" si="12">MIN(AU8,$D12)</f>
        <v>0</v>
      </c>
      <c r="AV9" s="22">
        <f t="shared" si="12"/>
        <v>0</v>
      </c>
      <c r="AW9" s="22">
        <f t="shared" si="12"/>
        <v>0</v>
      </c>
      <c r="AX9" s="22">
        <f t="shared" si="12"/>
        <v>0</v>
      </c>
      <c r="AY9" s="22">
        <f t="shared" si="12"/>
        <v>0</v>
      </c>
      <c r="AZ9" s="22">
        <f t="shared" si="12"/>
        <v>0</v>
      </c>
      <c r="BA9" s="22">
        <f t="shared" si="12"/>
        <v>0</v>
      </c>
      <c r="BB9" s="22">
        <f t="shared" si="12"/>
        <v>0</v>
      </c>
      <c r="BC9" s="22">
        <f t="shared" si="12"/>
        <v>0</v>
      </c>
      <c r="BD9" s="22">
        <f t="shared" si="12"/>
        <v>0</v>
      </c>
      <c r="BE9" s="22">
        <f t="shared" si="12"/>
        <v>0</v>
      </c>
      <c r="BF9" s="22">
        <f t="shared" si="12"/>
        <v>0</v>
      </c>
      <c r="BG9" s="22">
        <f t="shared" si="12"/>
        <v>0</v>
      </c>
      <c r="BH9" s="22">
        <f t="shared" si="12"/>
        <v>0</v>
      </c>
      <c r="BI9" s="22">
        <f t="shared" si="12"/>
        <v>0</v>
      </c>
      <c r="BJ9" s="22">
        <f t="shared" si="12"/>
        <v>0</v>
      </c>
      <c r="BK9" s="22">
        <f t="shared" si="12"/>
        <v>0</v>
      </c>
      <c r="BL9" s="22">
        <f t="shared" si="12"/>
        <v>0</v>
      </c>
      <c r="BM9" s="22">
        <f t="shared" si="12"/>
        <v>0</v>
      </c>
      <c r="BN9" s="22">
        <f t="shared" si="12"/>
        <v>0</v>
      </c>
      <c r="BO9" s="22">
        <f t="shared" si="12"/>
        <v>0</v>
      </c>
      <c r="BP9" s="22">
        <f t="shared" si="12"/>
        <v>0</v>
      </c>
      <c r="BQ9" s="22">
        <f t="shared" si="12"/>
        <v>0</v>
      </c>
      <c r="BR9" s="22">
        <f t="shared" si="12"/>
        <v>0</v>
      </c>
      <c r="BS9" s="22">
        <f t="shared" si="12"/>
        <v>0</v>
      </c>
      <c r="BT9" s="22">
        <f t="shared" si="12"/>
        <v>0</v>
      </c>
      <c r="BU9" s="22">
        <f t="shared" si="12"/>
        <v>0</v>
      </c>
      <c r="BV9" s="22">
        <f t="shared" si="12"/>
        <v>0</v>
      </c>
      <c r="BW9" s="22">
        <f t="shared" si="12"/>
        <v>0</v>
      </c>
      <c r="BX9" s="22">
        <f t="shared" si="12"/>
        <v>0</v>
      </c>
      <c r="BY9" s="22">
        <f t="shared" si="12"/>
        <v>0</v>
      </c>
      <c r="BZ9" s="22">
        <f t="shared" si="12"/>
        <v>0</v>
      </c>
      <c r="CA9" s="22">
        <f t="shared" ref="CA9:CP9" si="13">MIN(CA8,$D12)</f>
        <v>0</v>
      </c>
      <c r="CB9" s="22">
        <f t="shared" si="13"/>
        <v>0</v>
      </c>
      <c r="CC9" s="22">
        <f t="shared" si="13"/>
        <v>0</v>
      </c>
      <c r="CD9" s="22">
        <f t="shared" si="13"/>
        <v>0</v>
      </c>
      <c r="CE9" s="22">
        <f t="shared" si="13"/>
        <v>0</v>
      </c>
      <c r="CF9" s="22">
        <f t="shared" si="13"/>
        <v>0</v>
      </c>
      <c r="CG9" s="22">
        <f t="shared" si="13"/>
        <v>0</v>
      </c>
      <c r="CH9" s="22">
        <f t="shared" si="13"/>
        <v>0</v>
      </c>
      <c r="CI9" s="22">
        <f t="shared" si="13"/>
        <v>0</v>
      </c>
      <c r="CJ9" s="22">
        <f t="shared" si="13"/>
        <v>0</v>
      </c>
      <c r="CK9" s="22">
        <f t="shared" si="13"/>
        <v>0</v>
      </c>
      <c r="CL9" s="22">
        <f t="shared" si="13"/>
        <v>0</v>
      </c>
      <c r="CM9" s="22">
        <f t="shared" si="13"/>
        <v>0</v>
      </c>
      <c r="CN9" s="22">
        <f t="shared" si="13"/>
        <v>0</v>
      </c>
      <c r="CO9" s="22">
        <f t="shared" si="13"/>
        <v>0</v>
      </c>
      <c r="CP9" s="22">
        <f t="shared" si="13"/>
        <v>0</v>
      </c>
    </row>
    <row r="10" spans="1:94" ht="15" thickBot="1" x14ac:dyDescent="0.4">
      <c r="A10" s="2" t="s">
        <v>19</v>
      </c>
      <c r="B10" s="2" t="s">
        <v>154</v>
      </c>
      <c r="C10" s="89" t="s">
        <v>213</v>
      </c>
      <c r="D10" s="199"/>
      <c r="E10" s="91" t="s">
        <v>26</v>
      </c>
      <c r="F10" s="3"/>
      <c r="J10" s="2" t="s">
        <v>73</v>
      </c>
      <c r="K10" s="2" t="s">
        <v>219</v>
      </c>
      <c r="L10" s="2" t="s">
        <v>225</v>
      </c>
      <c r="M10" s="2" t="s">
        <v>74</v>
      </c>
      <c r="N10" s="3" t="s">
        <v>75</v>
      </c>
      <c r="O10" s="22" t="e">
        <f t="shared" ref="O10:AT10" si="14">O8*($D11+$D14*O9)</f>
        <v>#DIV/0!</v>
      </c>
      <c r="P10" s="22" t="e">
        <f t="shared" si="14"/>
        <v>#DIV/0!</v>
      </c>
      <c r="Q10" s="22" t="e">
        <f t="shared" si="14"/>
        <v>#DIV/0!</v>
      </c>
      <c r="R10" s="22" t="e">
        <f t="shared" si="14"/>
        <v>#DIV/0!</v>
      </c>
      <c r="S10" s="22" t="e">
        <f t="shared" si="14"/>
        <v>#DIV/0!</v>
      </c>
      <c r="T10" s="22" t="e">
        <f t="shared" si="14"/>
        <v>#DIV/0!</v>
      </c>
      <c r="U10" s="22" t="e">
        <f t="shared" si="14"/>
        <v>#DIV/0!</v>
      </c>
      <c r="V10" s="22" t="e">
        <f t="shared" si="14"/>
        <v>#DIV/0!</v>
      </c>
      <c r="W10" s="22" t="e">
        <f t="shared" si="14"/>
        <v>#DIV/0!</v>
      </c>
      <c r="X10" s="22" t="e">
        <f t="shared" si="14"/>
        <v>#DIV/0!</v>
      </c>
      <c r="Y10" s="22" t="e">
        <f t="shared" si="14"/>
        <v>#DIV/0!</v>
      </c>
      <c r="Z10" s="22" t="e">
        <f t="shared" si="14"/>
        <v>#DIV/0!</v>
      </c>
      <c r="AA10" s="22" t="e">
        <f t="shared" si="14"/>
        <v>#DIV/0!</v>
      </c>
      <c r="AB10" s="22" t="e">
        <f t="shared" si="14"/>
        <v>#DIV/0!</v>
      </c>
      <c r="AC10" s="22" t="e">
        <f t="shared" si="14"/>
        <v>#DIV/0!</v>
      </c>
      <c r="AD10" s="22" t="e">
        <f t="shared" si="14"/>
        <v>#DIV/0!</v>
      </c>
      <c r="AE10" s="22" t="e">
        <f t="shared" si="14"/>
        <v>#DIV/0!</v>
      </c>
      <c r="AF10" s="22" t="e">
        <f t="shared" si="14"/>
        <v>#DIV/0!</v>
      </c>
      <c r="AG10" s="22" t="e">
        <f t="shared" si="14"/>
        <v>#DIV/0!</v>
      </c>
      <c r="AH10" s="22" t="e">
        <f t="shared" si="14"/>
        <v>#DIV/0!</v>
      </c>
      <c r="AI10" s="22" t="e">
        <f t="shared" si="14"/>
        <v>#DIV/0!</v>
      </c>
      <c r="AJ10" s="22" t="e">
        <f t="shared" si="14"/>
        <v>#DIV/0!</v>
      </c>
      <c r="AK10" s="22" t="e">
        <f t="shared" si="14"/>
        <v>#DIV/0!</v>
      </c>
      <c r="AL10" s="22" t="e">
        <f t="shared" si="14"/>
        <v>#DIV/0!</v>
      </c>
      <c r="AM10" s="22" t="e">
        <f t="shared" si="14"/>
        <v>#DIV/0!</v>
      </c>
      <c r="AN10" s="22" t="e">
        <f t="shared" si="14"/>
        <v>#DIV/0!</v>
      </c>
      <c r="AO10" s="22" t="e">
        <f t="shared" si="14"/>
        <v>#DIV/0!</v>
      </c>
      <c r="AP10" s="22" t="e">
        <f t="shared" si="14"/>
        <v>#DIV/0!</v>
      </c>
      <c r="AQ10" s="22" t="e">
        <f t="shared" si="14"/>
        <v>#DIV/0!</v>
      </c>
      <c r="AR10" s="22" t="e">
        <f t="shared" si="14"/>
        <v>#DIV/0!</v>
      </c>
      <c r="AS10" s="22" t="e">
        <f t="shared" si="14"/>
        <v>#DIV/0!</v>
      </c>
      <c r="AT10" s="22" t="e">
        <f t="shared" si="14"/>
        <v>#DIV/0!</v>
      </c>
      <c r="AU10" s="22" t="e">
        <f t="shared" ref="AU10:BZ10" si="15">AU8*($D11+$D14*AU9)</f>
        <v>#DIV/0!</v>
      </c>
      <c r="AV10" s="22" t="e">
        <f t="shared" si="15"/>
        <v>#DIV/0!</v>
      </c>
      <c r="AW10" s="22" t="e">
        <f t="shared" si="15"/>
        <v>#DIV/0!</v>
      </c>
      <c r="AX10" s="22" t="e">
        <f t="shared" si="15"/>
        <v>#DIV/0!</v>
      </c>
      <c r="AY10" s="22" t="e">
        <f t="shared" si="15"/>
        <v>#DIV/0!</v>
      </c>
      <c r="AZ10" s="22" t="e">
        <f t="shared" si="15"/>
        <v>#DIV/0!</v>
      </c>
      <c r="BA10" s="22" t="e">
        <f t="shared" si="15"/>
        <v>#DIV/0!</v>
      </c>
      <c r="BB10" s="22" t="e">
        <f t="shared" si="15"/>
        <v>#DIV/0!</v>
      </c>
      <c r="BC10" s="22" t="e">
        <f t="shared" si="15"/>
        <v>#DIV/0!</v>
      </c>
      <c r="BD10" s="22" t="e">
        <f t="shared" si="15"/>
        <v>#DIV/0!</v>
      </c>
      <c r="BE10" s="22" t="e">
        <f t="shared" si="15"/>
        <v>#DIV/0!</v>
      </c>
      <c r="BF10" s="22" t="e">
        <f t="shared" si="15"/>
        <v>#DIV/0!</v>
      </c>
      <c r="BG10" s="22" t="e">
        <f t="shared" si="15"/>
        <v>#DIV/0!</v>
      </c>
      <c r="BH10" s="22" t="e">
        <f t="shared" si="15"/>
        <v>#DIV/0!</v>
      </c>
      <c r="BI10" s="22" t="e">
        <f t="shared" si="15"/>
        <v>#DIV/0!</v>
      </c>
      <c r="BJ10" s="22" t="e">
        <f t="shared" si="15"/>
        <v>#DIV/0!</v>
      </c>
      <c r="BK10" s="22" t="e">
        <f t="shared" si="15"/>
        <v>#DIV/0!</v>
      </c>
      <c r="BL10" s="22" t="e">
        <f t="shared" si="15"/>
        <v>#DIV/0!</v>
      </c>
      <c r="BM10" s="22" t="e">
        <f t="shared" si="15"/>
        <v>#DIV/0!</v>
      </c>
      <c r="BN10" s="22" t="e">
        <f t="shared" si="15"/>
        <v>#DIV/0!</v>
      </c>
      <c r="BO10" s="22" t="e">
        <f t="shared" si="15"/>
        <v>#DIV/0!</v>
      </c>
      <c r="BP10" s="22" t="e">
        <f t="shared" si="15"/>
        <v>#DIV/0!</v>
      </c>
      <c r="BQ10" s="22" t="e">
        <f t="shared" si="15"/>
        <v>#DIV/0!</v>
      </c>
      <c r="BR10" s="22" t="e">
        <f t="shared" si="15"/>
        <v>#DIV/0!</v>
      </c>
      <c r="BS10" s="22" t="e">
        <f t="shared" si="15"/>
        <v>#DIV/0!</v>
      </c>
      <c r="BT10" s="22" t="e">
        <f t="shared" si="15"/>
        <v>#DIV/0!</v>
      </c>
      <c r="BU10" s="22" t="e">
        <f t="shared" si="15"/>
        <v>#DIV/0!</v>
      </c>
      <c r="BV10" s="22" t="e">
        <f t="shared" si="15"/>
        <v>#DIV/0!</v>
      </c>
      <c r="BW10" s="22" t="e">
        <f t="shared" si="15"/>
        <v>#DIV/0!</v>
      </c>
      <c r="BX10" s="22" t="e">
        <f t="shared" si="15"/>
        <v>#DIV/0!</v>
      </c>
      <c r="BY10" s="22" t="e">
        <f t="shared" si="15"/>
        <v>#DIV/0!</v>
      </c>
      <c r="BZ10" s="22" t="e">
        <f t="shared" si="15"/>
        <v>#DIV/0!</v>
      </c>
      <c r="CA10" s="22" t="e">
        <f t="shared" ref="CA10:CP10" si="16">CA8*($D11+$D14*CA9)</f>
        <v>#DIV/0!</v>
      </c>
      <c r="CB10" s="22" t="e">
        <f t="shared" si="16"/>
        <v>#DIV/0!</v>
      </c>
      <c r="CC10" s="22" t="e">
        <f t="shared" si="16"/>
        <v>#DIV/0!</v>
      </c>
      <c r="CD10" s="22" t="e">
        <f t="shared" si="16"/>
        <v>#DIV/0!</v>
      </c>
      <c r="CE10" s="22" t="e">
        <f t="shared" si="16"/>
        <v>#DIV/0!</v>
      </c>
      <c r="CF10" s="22" t="e">
        <f t="shared" si="16"/>
        <v>#DIV/0!</v>
      </c>
      <c r="CG10" s="22" t="e">
        <f t="shared" si="16"/>
        <v>#DIV/0!</v>
      </c>
      <c r="CH10" s="22" t="e">
        <f t="shared" si="16"/>
        <v>#DIV/0!</v>
      </c>
      <c r="CI10" s="22" t="e">
        <f t="shared" si="16"/>
        <v>#DIV/0!</v>
      </c>
      <c r="CJ10" s="22" t="e">
        <f t="shared" si="16"/>
        <v>#DIV/0!</v>
      </c>
      <c r="CK10" s="22" t="e">
        <f t="shared" si="16"/>
        <v>#DIV/0!</v>
      </c>
      <c r="CL10" s="22" t="e">
        <f t="shared" si="16"/>
        <v>#DIV/0!</v>
      </c>
      <c r="CM10" s="22" t="e">
        <f t="shared" si="16"/>
        <v>#DIV/0!</v>
      </c>
      <c r="CN10" s="22" t="e">
        <f t="shared" si="16"/>
        <v>#DIV/0!</v>
      </c>
      <c r="CO10" s="22" t="e">
        <f t="shared" si="16"/>
        <v>#DIV/0!</v>
      </c>
      <c r="CP10" s="22" t="e">
        <f t="shared" si="16"/>
        <v>#DIV/0!</v>
      </c>
    </row>
    <row r="11" spans="1:94" ht="15" thickBot="1" x14ac:dyDescent="0.4">
      <c r="A11" s="2" t="s">
        <v>20</v>
      </c>
      <c r="B11" s="2" t="s">
        <v>154</v>
      </c>
      <c r="C11" s="89" t="s">
        <v>214</v>
      </c>
      <c r="D11" s="200"/>
      <c r="E11" s="91" t="s">
        <v>41</v>
      </c>
      <c r="F11" s="3"/>
      <c r="J11" s="2" t="s">
        <v>76</v>
      </c>
      <c r="K11" s="2" t="s">
        <v>220</v>
      </c>
      <c r="L11" s="2" t="s">
        <v>77</v>
      </c>
      <c r="M11" s="2" t="s">
        <v>41</v>
      </c>
      <c r="N11" s="3" t="s">
        <v>78</v>
      </c>
      <c r="O11" s="22" t="e">
        <f t="shared" ref="O11:AT11" si="17">$D11+2*$D14*O8</f>
        <v>#DIV/0!</v>
      </c>
      <c r="P11" s="22" t="e">
        <f t="shared" si="17"/>
        <v>#DIV/0!</v>
      </c>
      <c r="Q11" s="22" t="e">
        <f t="shared" si="17"/>
        <v>#DIV/0!</v>
      </c>
      <c r="R11" s="22" t="e">
        <f t="shared" si="17"/>
        <v>#DIV/0!</v>
      </c>
      <c r="S11" s="22" t="e">
        <f t="shared" si="17"/>
        <v>#DIV/0!</v>
      </c>
      <c r="T11" s="22" t="e">
        <f t="shared" si="17"/>
        <v>#DIV/0!</v>
      </c>
      <c r="U11" s="22" t="e">
        <f t="shared" si="17"/>
        <v>#DIV/0!</v>
      </c>
      <c r="V11" s="22" t="e">
        <f t="shared" si="17"/>
        <v>#DIV/0!</v>
      </c>
      <c r="W11" s="22" t="e">
        <f t="shared" si="17"/>
        <v>#DIV/0!</v>
      </c>
      <c r="X11" s="22" t="e">
        <f t="shared" si="17"/>
        <v>#DIV/0!</v>
      </c>
      <c r="Y11" s="22" t="e">
        <f t="shared" si="17"/>
        <v>#DIV/0!</v>
      </c>
      <c r="Z11" s="22" t="e">
        <f t="shared" si="17"/>
        <v>#DIV/0!</v>
      </c>
      <c r="AA11" s="22" t="e">
        <f t="shared" si="17"/>
        <v>#DIV/0!</v>
      </c>
      <c r="AB11" s="22" t="e">
        <f t="shared" si="17"/>
        <v>#DIV/0!</v>
      </c>
      <c r="AC11" s="22" t="e">
        <f t="shared" si="17"/>
        <v>#DIV/0!</v>
      </c>
      <c r="AD11" s="22" t="e">
        <f t="shared" si="17"/>
        <v>#DIV/0!</v>
      </c>
      <c r="AE11" s="22" t="e">
        <f t="shared" si="17"/>
        <v>#DIV/0!</v>
      </c>
      <c r="AF11" s="22" t="e">
        <f t="shared" si="17"/>
        <v>#DIV/0!</v>
      </c>
      <c r="AG11" s="22" t="e">
        <f t="shared" si="17"/>
        <v>#DIV/0!</v>
      </c>
      <c r="AH11" s="22" t="e">
        <f t="shared" si="17"/>
        <v>#DIV/0!</v>
      </c>
      <c r="AI11" s="22" t="e">
        <f t="shared" si="17"/>
        <v>#DIV/0!</v>
      </c>
      <c r="AJ11" s="22" t="e">
        <f t="shared" si="17"/>
        <v>#DIV/0!</v>
      </c>
      <c r="AK11" s="22" t="e">
        <f t="shared" si="17"/>
        <v>#DIV/0!</v>
      </c>
      <c r="AL11" s="22" t="e">
        <f t="shared" si="17"/>
        <v>#DIV/0!</v>
      </c>
      <c r="AM11" s="22" t="e">
        <f t="shared" si="17"/>
        <v>#DIV/0!</v>
      </c>
      <c r="AN11" s="22" t="e">
        <f t="shared" si="17"/>
        <v>#DIV/0!</v>
      </c>
      <c r="AO11" s="22" t="e">
        <f t="shared" si="17"/>
        <v>#DIV/0!</v>
      </c>
      <c r="AP11" s="22" t="e">
        <f t="shared" si="17"/>
        <v>#DIV/0!</v>
      </c>
      <c r="AQ11" s="22" t="e">
        <f t="shared" si="17"/>
        <v>#DIV/0!</v>
      </c>
      <c r="AR11" s="22" t="e">
        <f t="shared" si="17"/>
        <v>#DIV/0!</v>
      </c>
      <c r="AS11" s="22" t="e">
        <f t="shared" si="17"/>
        <v>#DIV/0!</v>
      </c>
      <c r="AT11" s="22" t="e">
        <f t="shared" si="17"/>
        <v>#DIV/0!</v>
      </c>
      <c r="AU11" s="22" t="e">
        <f t="shared" ref="AU11:BZ11" si="18">$D11+2*$D14*AU8</f>
        <v>#DIV/0!</v>
      </c>
      <c r="AV11" s="22" t="e">
        <f t="shared" si="18"/>
        <v>#DIV/0!</v>
      </c>
      <c r="AW11" s="22" t="e">
        <f t="shared" si="18"/>
        <v>#DIV/0!</v>
      </c>
      <c r="AX11" s="22" t="e">
        <f t="shared" si="18"/>
        <v>#DIV/0!</v>
      </c>
      <c r="AY11" s="22" t="e">
        <f t="shared" si="18"/>
        <v>#DIV/0!</v>
      </c>
      <c r="AZ11" s="22" t="e">
        <f t="shared" si="18"/>
        <v>#DIV/0!</v>
      </c>
      <c r="BA11" s="22" t="e">
        <f t="shared" si="18"/>
        <v>#DIV/0!</v>
      </c>
      <c r="BB11" s="22" t="e">
        <f t="shared" si="18"/>
        <v>#DIV/0!</v>
      </c>
      <c r="BC11" s="22" t="e">
        <f t="shared" si="18"/>
        <v>#DIV/0!</v>
      </c>
      <c r="BD11" s="22" t="e">
        <f t="shared" si="18"/>
        <v>#DIV/0!</v>
      </c>
      <c r="BE11" s="22" t="e">
        <f t="shared" si="18"/>
        <v>#DIV/0!</v>
      </c>
      <c r="BF11" s="22" t="e">
        <f t="shared" si="18"/>
        <v>#DIV/0!</v>
      </c>
      <c r="BG11" s="22" t="e">
        <f t="shared" si="18"/>
        <v>#DIV/0!</v>
      </c>
      <c r="BH11" s="22" t="e">
        <f t="shared" si="18"/>
        <v>#DIV/0!</v>
      </c>
      <c r="BI11" s="22" t="e">
        <f t="shared" si="18"/>
        <v>#DIV/0!</v>
      </c>
      <c r="BJ11" s="22" t="e">
        <f t="shared" si="18"/>
        <v>#DIV/0!</v>
      </c>
      <c r="BK11" s="22" t="e">
        <f t="shared" si="18"/>
        <v>#DIV/0!</v>
      </c>
      <c r="BL11" s="22" t="e">
        <f t="shared" si="18"/>
        <v>#DIV/0!</v>
      </c>
      <c r="BM11" s="22" t="e">
        <f t="shared" si="18"/>
        <v>#DIV/0!</v>
      </c>
      <c r="BN11" s="22" t="e">
        <f t="shared" si="18"/>
        <v>#DIV/0!</v>
      </c>
      <c r="BO11" s="22" t="e">
        <f t="shared" si="18"/>
        <v>#DIV/0!</v>
      </c>
      <c r="BP11" s="22" t="e">
        <f t="shared" si="18"/>
        <v>#DIV/0!</v>
      </c>
      <c r="BQ11" s="22" t="e">
        <f t="shared" si="18"/>
        <v>#DIV/0!</v>
      </c>
      <c r="BR11" s="22" t="e">
        <f t="shared" si="18"/>
        <v>#DIV/0!</v>
      </c>
      <c r="BS11" s="22" t="e">
        <f t="shared" si="18"/>
        <v>#DIV/0!</v>
      </c>
      <c r="BT11" s="22" t="e">
        <f t="shared" si="18"/>
        <v>#DIV/0!</v>
      </c>
      <c r="BU11" s="22" t="e">
        <f t="shared" si="18"/>
        <v>#DIV/0!</v>
      </c>
      <c r="BV11" s="22" t="e">
        <f t="shared" si="18"/>
        <v>#DIV/0!</v>
      </c>
      <c r="BW11" s="22" t="e">
        <f t="shared" si="18"/>
        <v>#DIV/0!</v>
      </c>
      <c r="BX11" s="22" t="e">
        <f t="shared" si="18"/>
        <v>#DIV/0!</v>
      </c>
      <c r="BY11" s="22" t="e">
        <f t="shared" si="18"/>
        <v>#DIV/0!</v>
      </c>
      <c r="BZ11" s="22" t="e">
        <f t="shared" si="18"/>
        <v>#DIV/0!</v>
      </c>
      <c r="CA11" s="22" t="e">
        <f t="shared" ref="CA11:CP11" si="19">$D11+2*$D14*CA8</f>
        <v>#DIV/0!</v>
      </c>
      <c r="CB11" s="22" t="e">
        <f t="shared" si="19"/>
        <v>#DIV/0!</v>
      </c>
      <c r="CC11" s="22" t="e">
        <f t="shared" si="19"/>
        <v>#DIV/0!</v>
      </c>
      <c r="CD11" s="22" t="e">
        <f t="shared" si="19"/>
        <v>#DIV/0!</v>
      </c>
      <c r="CE11" s="22" t="e">
        <f t="shared" si="19"/>
        <v>#DIV/0!</v>
      </c>
      <c r="CF11" s="22" t="e">
        <f t="shared" si="19"/>
        <v>#DIV/0!</v>
      </c>
      <c r="CG11" s="22" t="e">
        <f t="shared" si="19"/>
        <v>#DIV/0!</v>
      </c>
      <c r="CH11" s="22" t="e">
        <f t="shared" si="19"/>
        <v>#DIV/0!</v>
      </c>
      <c r="CI11" s="22" t="e">
        <f t="shared" si="19"/>
        <v>#DIV/0!</v>
      </c>
      <c r="CJ11" s="22" t="e">
        <f t="shared" si="19"/>
        <v>#DIV/0!</v>
      </c>
      <c r="CK11" s="22" t="e">
        <f t="shared" si="19"/>
        <v>#DIV/0!</v>
      </c>
      <c r="CL11" s="22" t="e">
        <f t="shared" si="19"/>
        <v>#DIV/0!</v>
      </c>
      <c r="CM11" s="22" t="e">
        <f t="shared" si="19"/>
        <v>#DIV/0!</v>
      </c>
      <c r="CN11" s="22" t="e">
        <f t="shared" si="19"/>
        <v>#DIV/0!</v>
      </c>
      <c r="CO11" s="22" t="e">
        <f t="shared" si="19"/>
        <v>#DIV/0!</v>
      </c>
      <c r="CP11" s="22" t="e">
        <f t="shared" si="19"/>
        <v>#DIV/0!</v>
      </c>
    </row>
    <row r="12" spans="1:94" ht="15" thickBot="1" x14ac:dyDescent="0.4">
      <c r="A12" s="2" t="s">
        <v>21</v>
      </c>
      <c r="B12" s="2" t="s">
        <v>154</v>
      </c>
      <c r="C12" s="89" t="s">
        <v>215</v>
      </c>
      <c r="D12" s="199"/>
      <c r="E12" s="91" t="s">
        <v>41</v>
      </c>
      <c r="F12" s="3"/>
      <c r="J12" s="2" t="s">
        <v>79</v>
      </c>
      <c r="K12" s="2" t="s">
        <v>221</v>
      </c>
      <c r="L12" s="2" t="s">
        <v>80</v>
      </c>
      <c r="M12" s="2" t="s">
        <v>41</v>
      </c>
      <c r="N12" s="3" t="s">
        <v>81</v>
      </c>
      <c r="O12" s="22" t="e">
        <f t="shared" ref="O12:AT12" si="20">$D11+2*(1+$D14^2)^(1/2)*O8</f>
        <v>#DIV/0!</v>
      </c>
      <c r="P12" s="22" t="e">
        <f t="shared" si="20"/>
        <v>#DIV/0!</v>
      </c>
      <c r="Q12" s="22" t="e">
        <f t="shared" si="20"/>
        <v>#DIV/0!</v>
      </c>
      <c r="R12" s="22" t="e">
        <f t="shared" si="20"/>
        <v>#DIV/0!</v>
      </c>
      <c r="S12" s="22" t="e">
        <f t="shared" si="20"/>
        <v>#DIV/0!</v>
      </c>
      <c r="T12" s="22" t="e">
        <f t="shared" si="20"/>
        <v>#DIV/0!</v>
      </c>
      <c r="U12" s="22" t="e">
        <f t="shared" si="20"/>
        <v>#DIV/0!</v>
      </c>
      <c r="V12" s="22" t="e">
        <f t="shared" si="20"/>
        <v>#DIV/0!</v>
      </c>
      <c r="W12" s="22" t="e">
        <f t="shared" si="20"/>
        <v>#DIV/0!</v>
      </c>
      <c r="X12" s="22" t="e">
        <f t="shared" si="20"/>
        <v>#DIV/0!</v>
      </c>
      <c r="Y12" s="22" t="e">
        <f t="shared" si="20"/>
        <v>#DIV/0!</v>
      </c>
      <c r="Z12" s="22" t="e">
        <f t="shared" si="20"/>
        <v>#DIV/0!</v>
      </c>
      <c r="AA12" s="22" t="e">
        <f t="shared" si="20"/>
        <v>#DIV/0!</v>
      </c>
      <c r="AB12" s="22" t="e">
        <f t="shared" si="20"/>
        <v>#DIV/0!</v>
      </c>
      <c r="AC12" s="22" t="e">
        <f t="shared" si="20"/>
        <v>#DIV/0!</v>
      </c>
      <c r="AD12" s="22" t="e">
        <f t="shared" si="20"/>
        <v>#DIV/0!</v>
      </c>
      <c r="AE12" s="22" t="e">
        <f t="shared" si="20"/>
        <v>#DIV/0!</v>
      </c>
      <c r="AF12" s="22" t="e">
        <f t="shared" si="20"/>
        <v>#DIV/0!</v>
      </c>
      <c r="AG12" s="22" t="e">
        <f t="shared" si="20"/>
        <v>#DIV/0!</v>
      </c>
      <c r="AH12" s="22" t="e">
        <f t="shared" si="20"/>
        <v>#DIV/0!</v>
      </c>
      <c r="AI12" s="22" t="e">
        <f t="shared" si="20"/>
        <v>#DIV/0!</v>
      </c>
      <c r="AJ12" s="22" t="e">
        <f t="shared" si="20"/>
        <v>#DIV/0!</v>
      </c>
      <c r="AK12" s="22" t="e">
        <f t="shared" si="20"/>
        <v>#DIV/0!</v>
      </c>
      <c r="AL12" s="22" t="e">
        <f t="shared" si="20"/>
        <v>#DIV/0!</v>
      </c>
      <c r="AM12" s="22" t="e">
        <f t="shared" si="20"/>
        <v>#DIV/0!</v>
      </c>
      <c r="AN12" s="22" t="e">
        <f t="shared" si="20"/>
        <v>#DIV/0!</v>
      </c>
      <c r="AO12" s="22" t="e">
        <f t="shared" si="20"/>
        <v>#DIV/0!</v>
      </c>
      <c r="AP12" s="22" t="e">
        <f t="shared" si="20"/>
        <v>#DIV/0!</v>
      </c>
      <c r="AQ12" s="22" t="e">
        <f t="shared" si="20"/>
        <v>#DIV/0!</v>
      </c>
      <c r="AR12" s="22" t="e">
        <f t="shared" si="20"/>
        <v>#DIV/0!</v>
      </c>
      <c r="AS12" s="22" t="e">
        <f t="shared" si="20"/>
        <v>#DIV/0!</v>
      </c>
      <c r="AT12" s="22" t="e">
        <f t="shared" si="20"/>
        <v>#DIV/0!</v>
      </c>
      <c r="AU12" s="22" t="e">
        <f t="shared" ref="AU12:BZ12" si="21">$D11+2*(1+$D14^2)^(1/2)*AU8</f>
        <v>#DIV/0!</v>
      </c>
      <c r="AV12" s="22" t="e">
        <f t="shared" si="21"/>
        <v>#DIV/0!</v>
      </c>
      <c r="AW12" s="22" t="e">
        <f t="shared" si="21"/>
        <v>#DIV/0!</v>
      </c>
      <c r="AX12" s="22" t="e">
        <f t="shared" si="21"/>
        <v>#DIV/0!</v>
      </c>
      <c r="AY12" s="22" t="e">
        <f t="shared" si="21"/>
        <v>#DIV/0!</v>
      </c>
      <c r="AZ12" s="22" t="e">
        <f t="shared" si="21"/>
        <v>#DIV/0!</v>
      </c>
      <c r="BA12" s="22" t="e">
        <f t="shared" si="21"/>
        <v>#DIV/0!</v>
      </c>
      <c r="BB12" s="22" t="e">
        <f t="shared" si="21"/>
        <v>#DIV/0!</v>
      </c>
      <c r="BC12" s="22" t="e">
        <f t="shared" si="21"/>
        <v>#DIV/0!</v>
      </c>
      <c r="BD12" s="22" t="e">
        <f t="shared" si="21"/>
        <v>#DIV/0!</v>
      </c>
      <c r="BE12" s="22" t="e">
        <f t="shared" si="21"/>
        <v>#DIV/0!</v>
      </c>
      <c r="BF12" s="22" t="e">
        <f t="shared" si="21"/>
        <v>#DIV/0!</v>
      </c>
      <c r="BG12" s="22" t="e">
        <f t="shared" si="21"/>
        <v>#DIV/0!</v>
      </c>
      <c r="BH12" s="22" t="e">
        <f t="shared" si="21"/>
        <v>#DIV/0!</v>
      </c>
      <c r="BI12" s="22" t="e">
        <f t="shared" si="21"/>
        <v>#DIV/0!</v>
      </c>
      <c r="BJ12" s="22" t="e">
        <f t="shared" si="21"/>
        <v>#DIV/0!</v>
      </c>
      <c r="BK12" s="22" t="e">
        <f t="shared" si="21"/>
        <v>#DIV/0!</v>
      </c>
      <c r="BL12" s="22" t="e">
        <f t="shared" si="21"/>
        <v>#DIV/0!</v>
      </c>
      <c r="BM12" s="22" t="e">
        <f t="shared" si="21"/>
        <v>#DIV/0!</v>
      </c>
      <c r="BN12" s="22" t="e">
        <f t="shared" si="21"/>
        <v>#DIV/0!</v>
      </c>
      <c r="BO12" s="22" t="e">
        <f t="shared" si="21"/>
        <v>#DIV/0!</v>
      </c>
      <c r="BP12" s="22" t="e">
        <f t="shared" si="21"/>
        <v>#DIV/0!</v>
      </c>
      <c r="BQ12" s="22" t="e">
        <f t="shared" si="21"/>
        <v>#DIV/0!</v>
      </c>
      <c r="BR12" s="22" t="e">
        <f t="shared" si="21"/>
        <v>#DIV/0!</v>
      </c>
      <c r="BS12" s="22" t="e">
        <f t="shared" si="21"/>
        <v>#DIV/0!</v>
      </c>
      <c r="BT12" s="22" t="e">
        <f t="shared" si="21"/>
        <v>#DIV/0!</v>
      </c>
      <c r="BU12" s="22" t="e">
        <f t="shared" si="21"/>
        <v>#DIV/0!</v>
      </c>
      <c r="BV12" s="22" t="e">
        <f t="shared" si="21"/>
        <v>#DIV/0!</v>
      </c>
      <c r="BW12" s="22" t="e">
        <f t="shared" si="21"/>
        <v>#DIV/0!</v>
      </c>
      <c r="BX12" s="22" t="e">
        <f t="shared" si="21"/>
        <v>#DIV/0!</v>
      </c>
      <c r="BY12" s="22" t="e">
        <f t="shared" si="21"/>
        <v>#DIV/0!</v>
      </c>
      <c r="BZ12" s="22" t="e">
        <f t="shared" si="21"/>
        <v>#DIV/0!</v>
      </c>
      <c r="CA12" s="22" t="e">
        <f t="shared" ref="CA12:CP12" si="22">$D11+2*(1+$D14^2)^(1/2)*CA8</f>
        <v>#DIV/0!</v>
      </c>
      <c r="CB12" s="22" t="e">
        <f t="shared" si="22"/>
        <v>#DIV/0!</v>
      </c>
      <c r="CC12" s="22" t="e">
        <f t="shared" si="22"/>
        <v>#DIV/0!</v>
      </c>
      <c r="CD12" s="22" t="e">
        <f t="shared" si="22"/>
        <v>#DIV/0!</v>
      </c>
      <c r="CE12" s="22" t="e">
        <f t="shared" si="22"/>
        <v>#DIV/0!</v>
      </c>
      <c r="CF12" s="22" t="e">
        <f t="shared" si="22"/>
        <v>#DIV/0!</v>
      </c>
      <c r="CG12" s="22" t="e">
        <f t="shared" si="22"/>
        <v>#DIV/0!</v>
      </c>
      <c r="CH12" s="22" t="e">
        <f t="shared" si="22"/>
        <v>#DIV/0!</v>
      </c>
      <c r="CI12" s="22" t="e">
        <f t="shared" si="22"/>
        <v>#DIV/0!</v>
      </c>
      <c r="CJ12" s="22" t="e">
        <f t="shared" si="22"/>
        <v>#DIV/0!</v>
      </c>
      <c r="CK12" s="22" t="e">
        <f t="shared" si="22"/>
        <v>#DIV/0!</v>
      </c>
      <c r="CL12" s="22" t="e">
        <f t="shared" si="22"/>
        <v>#DIV/0!</v>
      </c>
      <c r="CM12" s="22" t="e">
        <f t="shared" si="22"/>
        <v>#DIV/0!</v>
      </c>
      <c r="CN12" s="22" t="e">
        <f t="shared" si="22"/>
        <v>#DIV/0!</v>
      </c>
      <c r="CO12" s="22" t="e">
        <f t="shared" si="22"/>
        <v>#DIV/0!</v>
      </c>
      <c r="CP12" s="22" t="e">
        <f t="shared" si="22"/>
        <v>#DIV/0!</v>
      </c>
    </row>
    <row r="13" spans="1:94" ht="15" thickBot="1" x14ac:dyDescent="0.4">
      <c r="A13" s="2" t="s">
        <v>22</v>
      </c>
      <c r="B13" s="2" t="s">
        <v>154</v>
      </c>
      <c r="C13" s="89" t="s">
        <v>216</v>
      </c>
      <c r="D13" s="201"/>
      <c r="E13" s="91" t="s">
        <v>41</v>
      </c>
      <c r="F13" s="3"/>
      <c r="J13" s="2" t="s">
        <v>82</v>
      </c>
      <c r="K13" s="2" t="s">
        <v>222</v>
      </c>
      <c r="L13" s="2" t="s">
        <v>83</v>
      </c>
      <c r="M13" s="2" t="s">
        <v>41</v>
      </c>
      <c r="N13" s="3" t="s">
        <v>84</v>
      </c>
      <c r="O13" s="22" t="e">
        <f>O10/O12</f>
        <v>#DIV/0!</v>
      </c>
      <c r="P13" s="22" t="e">
        <f t="shared" ref="P13:CA13" si="23">P10/P12</f>
        <v>#DIV/0!</v>
      </c>
      <c r="Q13" s="22" t="e">
        <f t="shared" si="23"/>
        <v>#DIV/0!</v>
      </c>
      <c r="R13" s="22" t="e">
        <f t="shared" si="23"/>
        <v>#DIV/0!</v>
      </c>
      <c r="S13" s="22" t="e">
        <f t="shared" si="23"/>
        <v>#DIV/0!</v>
      </c>
      <c r="T13" s="22" t="e">
        <f t="shared" si="23"/>
        <v>#DIV/0!</v>
      </c>
      <c r="U13" s="22" t="e">
        <f t="shared" si="23"/>
        <v>#DIV/0!</v>
      </c>
      <c r="V13" s="22" t="e">
        <f t="shared" si="23"/>
        <v>#DIV/0!</v>
      </c>
      <c r="W13" s="22" t="e">
        <f t="shared" si="23"/>
        <v>#DIV/0!</v>
      </c>
      <c r="X13" s="22" t="e">
        <f t="shared" si="23"/>
        <v>#DIV/0!</v>
      </c>
      <c r="Y13" s="22" t="e">
        <f t="shared" si="23"/>
        <v>#DIV/0!</v>
      </c>
      <c r="Z13" s="22" t="e">
        <f t="shared" si="23"/>
        <v>#DIV/0!</v>
      </c>
      <c r="AA13" s="22" t="e">
        <f t="shared" si="23"/>
        <v>#DIV/0!</v>
      </c>
      <c r="AB13" s="22" t="e">
        <f t="shared" si="23"/>
        <v>#DIV/0!</v>
      </c>
      <c r="AC13" s="22" t="e">
        <f t="shared" si="23"/>
        <v>#DIV/0!</v>
      </c>
      <c r="AD13" s="22" t="e">
        <f t="shared" si="23"/>
        <v>#DIV/0!</v>
      </c>
      <c r="AE13" s="22" t="e">
        <f t="shared" si="23"/>
        <v>#DIV/0!</v>
      </c>
      <c r="AF13" s="22" t="e">
        <f t="shared" si="23"/>
        <v>#DIV/0!</v>
      </c>
      <c r="AG13" s="22" t="e">
        <f t="shared" si="23"/>
        <v>#DIV/0!</v>
      </c>
      <c r="AH13" s="22" t="e">
        <f t="shared" si="23"/>
        <v>#DIV/0!</v>
      </c>
      <c r="AI13" s="22" t="e">
        <f t="shared" si="23"/>
        <v>#DIV/0!</v>
      </c>
      <c r="AJ13" s="22" t="e">
        <f t="shared" si="23"/>
        <v>#DIV/0!</v>
      </c>
      <c r="AK13" s="22" t="e">
        <f t="shared" si="23"/>
        <v>#DIV/0!</v>
      </c>
      <c r="AL13" s="22" t="e">
        <f t="shared" si="23"/>
        <v>#DIV/0!</v>
      </c>
      <c r="AM13" s="22" t="e">
        <f t="shared" si="23"/>
        <v>#DIV/0!</v>
      </c>
      <c r="AN13" s="22" t="e">
        <f t="shared" si="23"/>
        <v>#DIV/0!</v>
      </c>
      <c r="AO13" s="22" t="e">
        <f t="shared" si="23"/>
        <v>#DIV/0!</v>
      </c>
      <c r="AP13" s="22" t="e">
        <f t="shared" si="23"/>
        <v>#DIV/0!</v>
      </c>
      <c r="AQ13" s="22" t="e">
        <f t="shared" si="23"/>
        <v>#DIV/0!</v>
      </c>
      <c r="AR13" s="22" t="e">
        <f t="shared" si="23"/>
        <v>#DIV/0!</v>
      </c>
      <c r="AS13" s="22" t="e">
        <f t="shared" si="23"/>
        <v>#DIV/0!</v>
      </c>
      <c r="AT13" s="22" t="e">
        <f t="shared" si="23"/>
        <v>#DIV/0!</v>
      </c>
      <c r="AU13" s="22" t="e">
        <f t="shared" si="23"/>
        <v>#DIV/0!</v>
      </c>
      <c r="AV13" s="22" t="e">
        <f t="shared" si="23"/>
        <v>#DIV/0!</v>
      </c>
      <c r="AW13" s="22" t="e">
        <f t="shared" si="23"/>
        <v>#DIV/0!</v>
      </c>
      <c r="AX13" s="22" t="e">
        <f t="shared" si="23"/>
        <v>#DIV/0!</v>
      </c>
      <c r="AY13" s="22" t="e">
        <f t="shared" si="23"/>
        <v>#DIV/0!</v>
      </c>
      <c r="AZ13" s="22" t="e">
        <f t="shared" si="23"/>
        <v>#DIV/0!</v>
      </c>
      <c r="BA13" s="22" t="e">
        <f t="shared" si="23"/>
        <v>#DIV/0!</v>
      </c>
      <c r="BB13" s="22" t="e">
        <f t="shared" si="23"/>
        <v>#DIV/0!</v>
      </c>
      <c r="BC13" s="22" t="e">
        <f t="shared" si="23"/>
        <v>#DIV/0!</v>
      </c>
      <c r="BD13" s="22" t="e">
        <f t="shared" si="23"/>
        <v>#DIV/0!</v>
      </c>
      <c r="BE13" s="22" t="e">
        <f t="shared" si="23"/>
        <v>#DIV/0!</v>
      </c>
      <c r="BF13" s="22" t="e">
        <f t="shared" si="23"/>
        <v>#DIV/0!</v>
      </c>
      <c r="BG13" s="22" t="e">
        <f t="shared" si="23"/>
        <v>#DIV/0!</v>
      </c>
      <c r="BH13" s="22" t="e">
        <f t="shared" si="23"/>
        <v>#DIV/0!</v>
      </c>
      <c r="BI13" s="22" t="e">
        <f t="shared" si="23"/>
        <v>#DIV/0!</v>
      </c>
      <c r="BJ13" s="22" t="e">
        <f t="shared" si="23"/>
        <v>#DIV/0!</v>
      </c>
      <c r="BK13" s="22" t="e">
        <f t="shared" si="23"/>
        <v>#DIV/0!</v>
      </c>
      <c r="BL13" s="22" t="e">
        <f t="shared" si="23"/>
        <v>#DIV/0!</v>
      </c>
      <c r="BM13" s="22" t="e">
        <f t="shared" si="23"/>
        <v>#DIV/0!</v>
      </c>
      <c r="BN13" s="22" t="e">
        <f t="shared" si="23"/>
        <v>#DIV/0!</v>
      </c>
      <c r="BO13" s="22" t="e">
        <f t="shared" si="23"/>
        <v>#DIV/0!</v>
      </c>
      <c r="BP13" s="22" t="e">
        <f t="shared" si="23"/>
        <v>#DIV/0!</v>
      </c>
      <c r="BQ13" s="22" t="e">
        <f t="shared" si="23"/>
        <v>#DIV/0!</v>
      </c>
      <c r="BR13" s="22" t="e">
        <f t="shared" si="23"/>
        <v>#DIV/0!</v>
      </c>
      <c r="BS13" s="22" t="e">
        <f t="shared" si="23"/>
        <v>#DIV/0!</v>
      </c>
      <c r="BT13" s="22" t="e">
        <f t="shared" si="23"/>
        <v>#DIV/0!</v>
      </c>
      <c r="BU13" s="22" t="e">
        <f t="shared" si="23"/>
        <v>#DIV/0!</v>
      </c>
      <c r="BV13" s="22" t="e">
        <f t="shared" si="23"/>
        <v>#DIV/0!</v>
      </c>
      <c r="BW13" s="22" t="e">
        <f t="shared" si="23"/>
        <v>#DIV/0!</v>
      </c>
      <c r="BX13" s="22" t="e">
        <f t="shared" si="23"/>
        <v>#DIV/0!</v>
      </c>
      <c r="BY13" s="22" t="e">
        <f t="shared" si="23"/>
        <v>#DIV/0!</v>
      </c>
      <c r="BZ13" s="22" t="e">
        <f t="shared" si="23"/>
        <v>#DIV/0!</v>
      </c>
      <c r="CA13" s="22" t="e">
        <f t="shared" si="23"/>
        <v>#DIV/0!</v>
      </c>
      <c r="CB13" s="22" t="e">
        <f t="shared" ref="CB13:CP13" si="24">CB10/CB12</f>
        <v>#DIV/0!</v>
      </c>
      <c r="CC13" s="22" t="e">
        <f t="shared" si="24"/>
        <v>#DIV/0!</v>
      </c>
      <c r="CD13" s="22" t="e">
        <f t="shared" si="24"/>
        <v>#DIV/0!</v>
      </c>
      <c r="CE13" s="22" t="e">
        <f t="shared" si="24"/>
        <v>#DIV/0!</v>
      </c>
      <c r="CF13" s="22" t="e">
        <f t="shared" si="24"/>
        <v>#DIV/0!</v>
      </c>
      <c r="CG13" s="22" t="e">
        <f t="shared" si="24"/>
        <v>#DIV/0!</v>
      </c>
      <c r="CH13" s="22" t="e">
        <f t="shared" si="24"/>
        <v>#DIV/0!</v>
      </c>
      <c r="CI13" s="22" t="e">
        <f t="shared" si="24"/>
        <v>#DIV/0!</v>
      </c>
      <c r="CJ13" s="22" t="e">
        <f t="shared" si="24"/>
        <v>#DIV/0!</v>
      </c>
      <c r="CK13" s="22" t="e">
        <f t="shared" si="24"/>
        <v>#DIV/0!</v>
      </c>
      <c r="CL13" s="22" t="e">
        <f t="shared" si="24"/>
        <v>#DIV/0!</v>
      </c>
      <c r="CM13" s="22" t="e">
        <f t="shared" si="24"/>
        <v>#DIV/0!</v>
      </c>
      <c r="CN13" s="22" t="e">
        <f t="shared" si="24"/>
        <v>#DIV/0!</v>
      </c>
      <c r="CO13" s="22" t="e">
        <f t="shared" si="24"/>
        <v>#DIV/0!</v>
      </c>
      <c r="CP13" s="22" t="e">
        <f t="shared" si="24"/>
        <v>#DIV/0!</v>
      </c>
    </row>
    <row r="14" spans="1:94" x14ac:dyDescent="0.35">
      <c r="A14" s="2" t="s">
        <v>23</v>
      </c>
      <c r="B14" s="2"/>
      <c r="C14" s="2" t="s">
        <v>217</v>
      </c>
      <c r="D14" s="92" t="e">
        <f>(D13-D11)/(2*D12)</f>
        <v>#DIV/0!</v>
      </c>
      <c r="E14" s="2" t="s">
        <v>10</v>
      </c>
      <c r="F14" s="3" t="s">
        <v>24</v>
      </c>
      <c r="J14" s="2" t="s">
        <v>85</v>
      </c>
      <c r="K14" s="2" t="s">
        <v>194</v>
      </c>
      <c r="L14" s="2" t="s">
        <v>149</v>
      </c>
      <c r="M14" s="8" t="s">
        <v>39</v>
      </c>
      <c r="N14" s="3" t="s">
        <v>86</v>
      </c>
      <c r="O14" s="22" t="e">
        <f t="shared" ref="O14:AT14" si="25">$D10*$D9^(1/2)*O13^(2/3)</f>
        <v>#DIV/0!</v>
      </c>
      <c r="P14" s="22" t="e">
        <f t="shared" si="25"/>
        <v>#DIV/0!</v>
      </c>
      <c r="Q14" s="22" t="e">
        <f t="shared" si="25"/>
        <v>#DIV/0!</v>
      </c>
      <c r="R14" s="22" t="e">
        <f t="shared" si="25"/>
        <v>#DIV/0!</v>
      </c>
      <c r="S14" s="22" t="e">
        <f t="shared" si="25"/>
        <v>#DIV/0!</v>
      </c>
      <c r="T14" s="22" t="e">
        <f t="shared" si="25"/>
        <v>#DIV/0!</v>
      </c>
      <c r="U14" s="22" t="e">
        <f t="shared" si="25"/>
        <v>#DIV/0!</v>
      </c>
      <c r="V14" s="22" t="e">
        <f t="shared" si="25"/>
        <v>#DIV/0!</v>
      </c>
      <c r="W14" s="22" t="e">
        <f t="shared" si="25"/>
        <v>#DIV/0!</v>
      </c>
      <c r="X14" s="22" t="e">
        <f t="shared" si="25"/>
        <v>#DIV/0!</v>
      </c>
      <c r="Y14" s="22" t="e">
        <f t="shared" si="25"/>
        <v>#DIV/0!</v>
      </c>
      <c r="Z14" s="22" t="e">
        <f t="shared" si="25"/>
        <v>#DIV/0!</v>
      </c>
      <c r="AA14" s="22" t="e">
        <f t="shared" si="25"/>
        <v>#DIV/0!</v>
      </c>
      <c r="AB14" s="22" t="e">
        <f t="shared" si="25"/>
        <v>#DIV/0!</v>
      </c>
      <c r="AC14" s="22" t="e">
        <f t="shared" si="25"/>
        <v>#DIV/0!</v>
      </c>
      <c r="AD14" s="22" t="e">
        <f t="shared" si="25"/>
        <v>#DIV/0!</v>
      </c>
      <c r="AE14" s="22" t="e">
        <f t="shared" si="25"/>
        <v>#DIV/0!</v>
      </c>
      <c r="AF14" s="22" t="e">
        <f t="shared" si="25"/>
        <v>#DIV/0!</v>
      </c>
      <c r="AG14" s="22" t="e">
        <f t="shared" si="25"/>
        <v>#DIV/0!</v>
      </c>
      <c r="AH14" s="22" t="e">
        <f t="shared" si="25"/>
        <v>#DIV/0!</v>
      </c>
      <c r="AI14" s="22" t="e">
        <f t="shared" si="25"/>
        <v>#DIV/0!</v>
      </c>
      <c r="AJ14" s="22" t="e">
        <f t="shared" si="25"/>
        <v>#DIV/0!</v>
      </c>
      <c r="AK14" s="22" t="e">
        <f t="shared" si="25"/>
        <v>#DIV/0!</v>
      </c>
      <c r="AL14" s="22" t="e">
        <f t="shared" si="25"/>
        <v>#DIV/0!</v>
      </c>
      <c r="AM14" s="22" t="e">
        <f t="shared" si="25"/>
        <v>#DIV/0!</v>
      </c>
      <c r="AN14" s="22" t="e">
        <f t="shared" si="25"/>
        <v>#DIV/0!</v>
      </c>
      <c r="AO14" s="22" t="e">
        <f t="shared" si="25"/>
        <v>#DIV/0!</v>
      </c>
      <c r="AP14" s="22" t="e">
        <f t="shared" si="25"/>
        <v>#DIV/0!</v>
      </c>
      <c r="AQ14" s="22" t="e">
        <f t="shared" si="25"/>
        <v>#DIV/0!</v>
      </c>
      <c r="AR14" s="22" t="e">
        <f t="shared" si="25"/>
        <v>#DIV/0!</v>
      </c>
      <c r="AS14" s="22" t="e">
        <f t="shared" si="25"/>
        <v>#DIV/0!</v>
      </c>
      <c r="AT14" s="22" t="e">
        <f t="shared" si="25"/>
        <v>#DIV/0!</v>
      </c>
      <c r="AU14" s="22" t="e">
        <f t="shared" ref="AU14:BZ14" si="26">$D10*$D9^(1/2)*AU13^(2/3)</f>
        <v>#DIV/0!</v>
      </c>
      <c r="AV14" s="22" t="e">
        <f t="shared" si="26"/>
        <v>#DIV/0!</v>
      </c>
      <c r="AW14" s="22" t="e">
        <f t="shared" si="26"/>
        <v>#DIV/0!</v>
      </c>
      <c r="AX14" s="22" t="e">
        <f t="shared" si="26"/>
        <v>#DIV/0!</v>
      </c>
      <c r="AY14" s="22" t="e">
        <f t="shared" si="26"/>
        <v>#DIV/0!</v>
      </c>
      <c r="AZ14" s="22" t="e">
        <f t="shared" si="26"/>
        <v>#DIV/0!</v>
      </c>
      <c r="BA14" s="22" t="e">
        <f t="shared" si="26"/>
        <v>#DIV/0!</v>
      </c>
      <c r="BB14" s="22" t="e">
        <f t="shared" si="26"/>
        <v>#DIV/0!</v>
      </c>
      <c r="BC14" s="22" t="e">
        <f t="shared" si="26"/>
        <v>#DIV/0!</v>
      </c>
      <c r="BD14" s="22" t="e">
        <f t="shared" si="26"/>
        <v>#DIV/0!</v>
      </c>
      <c r="BE14" s="22" t="e">
        <f t="shared" si="26"/>
        <v>#DIV/0!</v>
      </c>
      <c r="BF14" s="22" t="e">
        <f t="shared" si="26"/>
        <v>#DIV/0!</v>
      </c>
      <c r="BG14" s="22" t="e">
        <f t="shared" si="26"/>
        <v>#DIV/0!</v>
      </c>
      <c r="BH14" s="22" t="e">
        <f t="shared" si="26"/>
        <v>#DIV/0!</v>
      </c>
      <c r="BI14" s="22" t="e">
        <f t="shared" si="26"/>
        <v>#DIV/0!</v>
      </c>
      <c r="BJ14" s="22" t="e">
        <f t="shared" si="26"/>
        <v>#DIV/0!</v>
      </c>
      <c r="BK14" s="22" t="e">
        <f t="shared" si="26"/>
        <v>#DIV/0!</v>
      </c>
      <c r="BL14" s="22" t="e">
        <f t="shared" si="26"/>
        <v>#DIV/0!</v>
      </c>
      <c r="BM14" s="22" t="e">
        <f t="shared" si="26"/>
        <v>#DIV/0!</v>
      </c>
      <c r="BN14" s="22" t="e">
        <f t="shared" si="26"/>
        <v>#DIV/0!</v>
      </c>
      <c r="BO14" s="22" t="e">
        <f t="shared" si="26"/>
        <v>#DIV/0!</v>
      </c>
      <c r="BP14" s="22" t="e">
        <f t="shared" si="26"/>
        <v>#DIV/0!</v>
      </c>
      <c r="BQ14" s="22" t="e">
        <f t="shared" si="26"/>
        <v>#DIV/0!</v>
      </c>
      <c r="BR14" s="22" t="e">
        <f t="shared" si="26"/>
        <v>#DIV/0!</v>
      </c>
      <c r="BS14" s="22" t="e">
        <f t="shared" si="26"/>
        <v>#DIV/0!</v>
      </c>
      <c r="BT14" s="22" t="e">
        <f t="shared" si="26"/>
        <v>#DIV/0!</v>
      </c>
      <c r="BU14" s="22" t="e">
        <f t="shared" si="26"/>
        <v>#DIV/0!</v>
      </c>
      <c r="BV14" s="22" t="e">
        <f t="shared" si="26"/>
        <v>#DIV/0!</v>
      </c>
      <c r="BW14" s="22" t="e">
        <f t="shared" si="26"/>
        <v>#DIV/0!</v>
      </c>
      <c r="BX14" s="22" t="e">
        <f t="shared" si="26"/>
        <v>#DIV/0!</v>
      </c>
      <c r="BY14" s="22" t="e">
        <f t="shared" si="26"/>
        <v>#DIV/0!</v>
      </c>
      <c r="BZ14" s="22" t="e">
        <f t="shared" si="26"/>
        <v>#DIV/0!</v>
      </c>
      <c r="CA14" s="22" t="e">
        <f t="shared" ref="CA14:CP14" si="27">$D10*$D9^(1/2)*CA13^(2/3)</f>
        <v>#DIV/0!</v>
      </c>
      <c r="CB14" s="22" t="e">
        <f t="shared" si="27"/>
        <v>#DIV/0!</v>
      </c>
      <c r="CC14" s="22" t="e">
        <f t="shared" si="27"/>
        <v>#DIV/0!</v>
      </c>
      <c r="CD14" s="22" t="e">
        <f t="shared" si="27"/>
        <v>#DIV/0!</v>
      </c>
      <c r="CE14" s="22" t="e">
        <f t="shared" si="27"/>
        <v>#DIV/0!</v>
      </c>
      <c r="CF14" s="22" t="e">
        <f t="shared" si="27"/>
        <v>#DIV/0!</v>
      </c>
      <c r="CG14" s="22" t="e">
        <f t="shared" si="27"/>
        <v>#DIV/0!</v>
      </c>
      <c r="CH14" s="22" t="e">
        <f t="shared" si="27"/>
        <v>#DIV/0!</v>
      </c>
      <c r="CI14" s="22" t="e">
        <f t="shared" si="27"/>
        <v>#DIV/0!</v>
      </c>
      <c r="CJ14" s="22" t="e">
        <f t="shared" si="27"/>
        <v>#DIV/0!</v>
      </c>
      <c r="CK14" s="22" t="e">
        <f t="shared" si="27"/>
        <v>#DIV/0!</v>
      </c>
      <c r="CL14" s="22" t="e">
        <f t="shared" si="27"/>
        <v>#DIV/0!</v>
      </c>
      <c r="CM14" s="22" t="e">
        <f t="shared" si="27"/>
        <v>#DIV/0!</v>
      </c>
      <c r="CN14" s="22" t="e">
        <f t="shared" si="27"/>
        <v>#DIV/0!</v>
      </c>
      <c r="CO14" s="22" t="e">
        <f t="shared" si="27"/>
        <v>#DIV/0!</v>
      </c>
      <c r="CP14" s="22" t="e">
        <f t="shared" si="27"/>
        <v>#DIV/0!</v>
      </c>
    </row>
    <row r="15" spans="1:94" x14ac:dyDescent="0.35">
      <c r="J15" s="2" t="s">
        <v>87</v>
      </c>
      <c r="K15" s="2" t="s">
        <v>223</v>
      </c>
      <c r="L15" s="2" t="s">
        <v>147</v>
      </c>
      <c r="M15" s="2" t="s">
        <v>13</v>
      </c>
      <c r="N15" s="3" t="s">
        <v>88</v>
      </c>
      <c r="O15" s="22" t="e">
        <f>O14*O10*1000</f>
        <v>#DIV/0!</v>
      </c>
      <c r="P15" s="22" t="e">
        <f t="shared" ref="P15:CA15" si="28">P14*P10*1000</f>
        <v>#DIV/0!</v>
      </c>
      <c r="Q15" s="22" t="e">
        <f t="shared" si="28"/>
        <v>#DIV/0!</v>
      </c>
      <c r="R15" s="22" t="e">
        <f t="shared" si="28"/>
        <v>#DIV/0!</v>
      </c>
      <c r="S15" s="22" t="e">
        <f t="shared" si="28"/>
        <v>#DIV/0!</v>
      </c>
      <c r="T15" s="22" t="e">
        <f t="shared" si="28"/>
        <v>#DIV/0!</v>
      </c>
      <c r="U15" s="22" t="e">
        <f t="shared" si="28"/>
        <v>#DIV/0!</v>
      </c>
      <c r="V15" s="22" t="e">
        <f t="shared" si="28"/>
        <v>#DIV/0!</v>
      </c>
      <c r="W15" s="22" t="e">
        <f t="shared" si="28"/>
        <v>#DIV/0!</v>
      </c>
      <c r="X15" s="22" t="e">
        <f t="shared" si="28"/>
        <v>#DIV/0!</v>
      </c>
      <c r="Y15" s="22" t="e">
        <f t="shared" si="28"/>
        <v>#DIV/0!</v>
      </c>
      <c r="Z15" s="22" t="e">
        <f t="shared" si="28"/>
        <v>#DIV/0!</v>
      </c>
      <c r="AA15" s="22" t="e">
        <f t="shared" si="28"/>
        <v>#DIV/0!</v>
      </c>
      <c r="AB15" s="22" t="e">
        <f t="shared" si="28"/>
        <v>#DIV/0!</v>
      </c>
      <c r="AC15" s="22" t="e">
        <f t="shared" si="28"/>
        <v>#DIV/0!</v>
      </c>
      <c r="AD15" s="22" t="e">
        <f t="shared" si="28"/>
        <v>#DIV/0!</v>
      </c>
      <c r="AE15" s="22" t="e">
        <f t="shared" si="28"/>
        <v>#DIV/0!</v>
      </c>
      <c r="AF15" s="22" t="e">
        <f t="shared" si="28"/>
        <v>#DIV/0!</v>
      </c>
      <c r="AG15" s="22" t="e">
        <f t="shared" si="28"/>
        <v>#DIV/0!</v>
      </c>
      <c r="AH15" s="22" t="e">
        <f t="shared" si="28"/>
        <v>#DIV/0!</v>
      </c>
      <c r="AI15" s="22" t="e">
        <f t="shared" si="28"/>
        <v>#DIV/0!</v>
      </c>
      <c r="AJ15" s="22" t="e">
        <f t="shared" si="28"/>
        <v>#DIV/0!</v>
      </c>
      <c r="AK15" s="22" t="e">
        <f t="shared" si="28"/>
        <v>#DIV/0!</v>
      </c>
      <c r="AL15" s="22" t="e">
        <f t="shared" si="28"/>
        <v>#DIV/0!</v>
      </c>
      <c r="AM15" s="22" t="e">
        <f t="shared" si="28"/>
        <v>#DIV/0!</v>
      </c>
      <c r="AN15" s="22" t="e">
        <f t="shared" si="28"/>
        <v>#DIV/0!</v>
      </c>
      <c r="AO15" s="22" t="e">
        <f t="shared" si="28"/>
        <v>#DIV/0!</v>
      </c>
      <c r="AP15" s="22" t="e">
        <f t="shared" si="28"/>
        <v>#DIV/0!</v>
      </c>
      <c r="AQ15" s="22" t="e">
        <f t="shared" si="28"/>
        <v>#DIV/0!</v>
      </c>
      <c r="AR15" s="22" t="e">
        <f t="shared" si="28"/>
        <v>#DIV/0!</v>
      </c>
      <c r="AS15" s="22" t="e">
        <f t="shared" si="28"/>
        <v>#DIV/0!</v>
      </c>
      <c r="AT15" s="22" t="e">
        <f t="shared" si="28"/>
        <v>#DIV/0!</v>
      </c>
      <c r="AU15" s="22" t="e">
        <f t="shared" si="28"/>
        <v>#DIV/0!</v>
      </c>
      <c r="AV15" s="22" t="e">
        <f t="shared" si="28"/>
        <v>#DIV/0!</v>
      </c>
      <c r="AW15" s="22" t="e">
        <f t="shared" si="28"/>
        <v>#DIV/0!</v>
      </c>
      <c r="AX15" s="22" t="e">
        <f t="shared" si="28"/>
        <v>#DIV/0!</v>
      </c>
      <c r="AY15" s="22" t="e">
        <f t="shared" si="28"/>
        <v>#DIV/0!</v>
      </c>
      <c r="AZ15" s="22" t="e">
        <f t="shared" si="28"/>
        <v>#DIV/0!</v>
      </c>
      <c r="BA15" s="22" t="e">
        <f t="shared" si="28"/>
        <v>#DIV/0!</v>
      </c>
      <c r="BB15" s="22" t="e">
        <f t="shared" si="28"/>
        <v>#DIV/0!</v>
      </c>
      <c r="BC15" s="22" t="e">
        <f t="shared" si="28"/>
        <v>#DIV/0!</v>
      </c>
      <c r="BD15" s="22" t="e">
        <f t="shared" si="28"/>
        <v>#DIV/0!</v>
      </c>
      <c r="BE15" s="22" t="e">
        <f t="shared" si="28"/>
        <v>#DIV/0!</v>
      </c>
      <c r="BF15" s="22" t="e">
        <f t="shared" si="28"/>
        <v>#DIV/0!</v>
      </c>
      <c r="BG15" s="22" t="e">
        <f t="shared" si="28"/>
        <v>#DIV/0!</v>
      </c>
      <c r="BH15" s="22" t="e">
        <f t="shared" si="28"/>
        <v>#DIV/0!</v>
      </c>
      <c r="BI15" s="22" t="e">
        <f t="shared" si="28"/>
        <v>#DIV/0!</v>
      </c>
      <c r="BJ15" s="22" t="e">
        <f t="shared" si="28"/>
        <v>#DIV/0!</v>
      </c>
      <c r="BK15" s="22" t="e">
        <f t="shared" si="28"/>
        <v>#DIV/0!</v>
      </c>
      <c r="BL15" s="22" t="e">
        <f t="shared" si="28"/>
        <v>#DIV/0!</v>
      </c>
      <c r="BM15" s="22" t="e">
        <f t="shared" si="28"/>
        <v>#DIV/0!</v>
      </c>
      <c r="BN15" s="22" t="e">
        <f t="shared" si="28"/>
        <v>#DIV/0!</v>
      </c>
      <c r="BO15" s="22" t="e">
        <f t="shared" si="28"/>
        <v>#DIV/0!</v>
      </c>
      <c r="BP15" s="22" t="e">
        <f t="shared" si="28"/>
        <v>#DIV/0!</v>
      </c>
      <c r="BQ15" s="22" t="e">
        <f t="shared" si="28"/>
        <v>#DIV/0!</v>
      </c>
      <c r="BR15" s="22" t="e">
        <f t="shared" si="28"/>
        <v>#DIV/0!</v>
      </c>
      <c r="BS15" s="22" t="e">
        <f t="shared" si="28"/>
        <v>#DIV/0!</v>
      </c>
      <c r="BT15" s="22" t="e">
        <f t="shared" si="28"/>
        <v>#DIV/0!</v>
      </c>
      <c r="BU15" s="22" t="e">
        <f t="shared" si="28"/>
        <v>#DIV/0!</v>
      </c>
      <c r="BV15" s="22" t="e">
        <f t="shared" si="28"/>
        <v>#DIV/0!</v>
      </c>
      <c r="BW15" s="22" t="e">
        <f t="shared" si="28"/>
        <v>#DIV/0!</v>
      </c>
      <c r="BX15" s="22" t="e">
        <f t="shared" si="28"/>
        <v>#DIV/0!</v>
      </c>
      <c r="BY15" s="22" t="e">
        <f t="shared" si="28"/>
        <v>#DIV/0!</v>
      </c>
      <c r="BZ15" s="22" t="e">
        <f t="shared" si="28"/>
        <v>#DIV/0!</v>
      </c>
      <c r="CA15" s="22" t="e">
        <f t="shared" si="28"/>
        <v>#DIV/0!</v>
      </c>
      <c r="CB15" s="22" t="e">
        <f t="shared" ref="CB15:CP15" si="29">CB14*CB10*1000</f>
        <v>#DIV/0!</v>
      </c>
      <c r="CC15" s="22" t="e">
        <f t="shared" si="29"/>
        <v>#DIV/0!</v>
      </c>
      <c r="CD15" s="22" t="e">
        <f t="shared" si="29"/>
        <v>#DIV/0!</v>
      </c>
      <c r="CE15" s="22" t="e">
        <f t="shared" si="29"/>
        <v>#DIV/0!</v>
      </c>
      <c r="CF15" s="22" t="e">
        <f t="shared" si="29"/>
        <v>#DIV/0!</v>
      </c>
      <c r="CG15" s="22" t="e">
        <f t="shared" si="29"/>
        <v>#DIV/0!</v>
      </c>
      <c r="CH15" s="22" t="e">
        <f t="shared" si="29"/>
        <v>#DIV/0!</v>
      </c>
      <c r="CI15" s="22" t="e">
        <f t="shared" si="29"/>
        <v>#DIV/0!</v>
      </c>
      <c r="CJ15" s="22" t="e">
        <f t="shared" si="29"/>
        <v>#DIV/0!</v>
      </c>
      <c r="CK15" s="22" t="e">
        <f t="shared" si="29"/>
        <v>#DIV/0!</v>
      </c>
      <c r="CL15" s="22" t="e">
        <f t="shared" si="29"/>
        <v>#DIV/0!</v>
      </c>
      <c r="CM15" s="22" t="e">
        <f t="shared" si="29"/>
        <v>#DIV/0!</v>
      </c>
      <c r="CN15" s="22" t="e">
        <f t="shared" si="29"/>
        <v>#DIV/0!</v>
      </c>
      <c r="CO15" s="22" t="e">
        <f t="shared" si="29"/>
        <v>#DIV/0!</v>
      </c>
      <c r="CP15" s="22" t="e">
        <f t="shared" si="29"/>
        <v>#DIV/0!</v>
      </c>
    </row>
    <row r="16" spans="1:94" x14ac:dyDescent="0.35">
      <c r="A16" s="86" t="s">
        <v>272</v>
      </c>
      <c r="B16" s="87" t="s">
        <v>269</v>
      </c>
      <c r="C16" s="87"/>
      <c r="D16" s="142" t="e">
        <f>SUM(O4:CP4,O6:AH6)</f>
        <v>#DIV/0!</v>
      </c>
      <c r="J16" s="2" t="s">
        <v>89</v>
      </c>
      <c r="K16" s="2" t="s">
        <v>195</v>
      </c>
      <c r="L16" s="2" t="s">
        <v>150</v>
      </c>
      <c r="M16" s="2" t="s">
        <v>41</v>
      </c>
      <c r="N16" s="3" t="s">
        <v>90</v>
      </c>
      <c r="O16" s="22" t="e">
        <f>O10/O11</f>
        <v>#DIV/0!</v>
      </c>
      <c r="P16" s="22" t="e">
        <f t="shared" ref="P16:CA16" si="30">P10/P11</f>
        <v>#DIV/0!</v>
      </c>
      <c r="Q16" s="22" t="e">
        <f t="shared" si="30"/>
        <v>#DIV/0!</v>
      </c>
      <c r="R16" s="22" t="e">
        <f t="shared" si="30"/>
        <v>#DIV/0!</v>
      </c>
      <c r="S16" s="22" t="e">
        <f t="shared" si="30"/>
        <v>#DIV/0!</v>
      </c>
      <c r="T16" s="22" t="e">
        <f t="shared" si="30"/>
        <v>#DIV/0!</v>
      </c>
      <c r="U16" s="22" t="e">
        <f t="shared" si="30"/>
        <v>#DIV/0!</v>
      </c>
      <c r="V16" s="22" t="e">
        <f t="shared" si="30"/>
        <v>#DIV/0!</v>
      </c>
      <c r="W16" s="22" t="e">
        <f t="shared" si="30"/>
        <v>#DIV/0!</v>
      </c>
      <c r="X16" s="22" t="e">
        <f t="shared" si="30"/>
        <v>#DIV/0!</v>
      </c>
      <c r="Y16" s="22" t="e">
        <f t="shared" si="30"/>
        <v>#DIV/0!</v>
      </c>
      <c r="Z16" s="22" t="e">
        <f t="shared" si="30"/>
        <v>#DIV/0!</v>
      </c>
      <c r="AA16" s="22" t="e">
        <f t="shared" si="30"/>
        <v>#DIV/0!</v>
      </c>
      <c r="AB16" s="22" t="e">
        <f t="shared" si="30"/>
        <v>#DIV/0!</v>
      </c>
      <c r="AC16" s="22" t="e">
        <f t="shared" si="30"/>
        <v>#DIV/0!</v>
      </c>
      <c r="AD16" s="22" t="e">
        <f t="shared" si="30"/>
        <v>#DIV/0!</v>
      </c>
      <c r="AE16" s="22" t="e">
        <f t="shared" si="30"/>
        <v>#DIV/0!</v>
      </c>
      <c r="AF16" s="22" t="e">
        <f t="shared" si="30"/>
        <v>#DIV/0!</v>
      </c>
      <c r="AG16" s="22" t="e">
        <f t="shared" si="30"/>
        <v>#DIV/0!</v>
      </c>
      <c r="AH16" s="22" t="e">
        <f t="shared" si="30"/>
        <v>#DIV/0!</v>
      </c>
      <c r="AI16" s="22" t="e">
        <f t="shared" si="30"/>
        <v>#DIV/0!</v>
      </c>
      <c r="AJ16" s="22" t="e">
        <f t="shared" si="30"/>
        <v>#DIV/0!</v>
      </c>
      <c r="AK16" s="22" t="e">
        <f t="shared" si="30"/>
        <v>#DIV/0!</v>
      </c>
      <c r="AL16" s="22" t="e">
        <f t="shared" si="30"/>
        <v>#DIV/0!</v>
      </c>
      <c r="AM16" s="22" t="e">
        <f t="shared" si="30"/>
        <v>#DIV/0!</v>
      </c>
      <c r="AN16" s="22" t="e">
        <f t="shared" si="30"/>
        <v>#DIV/0!</v>
      </c>
      <c r="AO16" s="22" t="e">
        <f t="shared" si="30"/>
        <v>#DIV/0!</v>
      </c>
      <c r="AP16" s="22" t="e">
        <f t="shared" si="30"/>
        <v>#DIV/0!</v>
      </c>
      <c r="AQ16" s="22" t="e">
        <f t="shared" si="30"/>
        <v>#DIV/0!</v>
      </c>
      <c r="AR16" s="22" t="e">
        <f t="shared" si="30"/>
        <v>#DIV/0!</v>
      </c>
      <c r="AS16" s="22" t="e">
        <f t="shared" si="30"/>
        <v>#DIV/0!</v>
      </c>
      <c r="AT16" s="22" t="e">
        <f t="shared" si="30"/>
        <v>#DIV/0!</v>
      </c>
      <c r="AU16" s="22" t="e">
        <f t="shared" si="30"/>
        <v>#DIV/0!</v>
      </c>
      <c r="AV16" s="22" t="e">
        <f t="shared" si="30"/>
        <v>#DIV/0!</v>
      </c>
      <c r="AW16" s="22" t="e">
        <f t="shared" si="30"/>
        <v>#DIV/0!</v>
      </c>
      <c r="AX16" s="22" t="e">
        <f t="shared" si="30"/>
        <v>#DIV/0!</v>
      </c>
      <c r="AY16" s="22" t="e">
        <f t="shared" si="30"/>
        <v>#DIV/0!</v>
      </c>
      <c r="AZ16" s="22" t="e">
        <f t="shared" si="30"/>
        <v>#DIV/0!</v>
      </c>
      <c r="BA16" s="22" t="e">
        <f t="shared" si="30"/>
        <v>#DIV/0!</v>
      </c>
      <c r="BB16" s="22" t="e">
        <f t="shared" si="30"/>
        <v>#DIV/0!</v>
      </c>
      <c r="BC16" s="22" t="e">
        <f t="shared" si="30"/>
        <v>#DIV/0!</v>
      </c>
      <c r="BD16" s="22" t="e">
        <f t="shared" si="30"/>
        <v>#DIV/0!</v>
      </c>
      <c r="BE16" s="22" t="e">
        <f t="shared" si="30"/>
        <v>#DIV/0!</v>
      </c>
      <c r="BF16" s="22" t="e">
        <f t="shared" si="30"/>
        <v>#DIV/0!</v>
      </c>
      <c r="BG16" s="22" t="e">
        <f t="shared" si="30"/>
        <v>#DIV/0!</v>
      </c>
      <c r="BH16" s="22" t="e">
        <f t="shared" si="30"/>
        <v>#DIV/0!</v>
      </c>
      <c r="BI16" s="22" t="e">
        <f t="shared" si="30"/>
        <v>#DIV/0!</v>
      </c>
      <c r="BJ16" s="22" t="e">
        <f t="shared" si="30"/>
        <v>#DIV/0!</v>
      </c>
      <c r="BK16" s="22" t="e">
        <f t="shared" si="30"/>
        <v>#DIV/0!</v>
      </c>
      <c r="BL16" s="22" t="e">
        <f t="shared" si="30"/>
        <v>#DIV/0!</v>
      </c>
      <c r="BM16" s="22" t="e">
        <f t="shared" si="30"/>
        <v>#DIV/0!</v>
      </c>
      <c r="BN16" s="22" t="e">
        <f t="shared" si="30"/>
        <v>#DIV/0!</v>
      </c>
      <c r="BO16" s="22" t="e">
        <f t="shared" si="30"/>
        <v>#DIV/0!</v>
      </c>
      <c r="BP16" s="22" t="e">
        <f t="shared" si="30"/>
        <v>#DIV/0!</v>
      </c>
      <c r="BQ16" s="22" t="e">
        <f t="shared" si="30"/>
        <v>#DIV/0!</v>
      </c>
      <c r="BR16" s="22" t="e">
        <f t="shared" si="30"/>
        <v>#DIV/0!</v>
      </c>
      <c r="BS16" s="22" t="e">
        <f t="shared" si="30"/>
        <v>#DIV/0!</v>
      </c>
      <c r="BT16" s="22" t="e">
        <f t="shared" si="30"/>
        <v>#DIV/0!</v>
      </c>
      <c r="BU16" s="22" t="e">
        <f t="shared" si="30"/>
        <v>#DIV/0!</v>
      </c>
      <c r="BV16" s="22" t="e">
        <f t="shared" si="30"/>
        <v>#DIV/0!</v>
      </c>
      <c r="BW16" s="22" t="e">
        <f t="shared" si="30"/>
        <v>#DIV/0!</v>
      </c>
      <c r="BX16" s="22" t="e">
        <f t="shared" si="30"/>
        <v>#DIV/0!</v>
      </c>
      <c r="BY16" s="22" t="e">
        <f t="shared" si="30"/>
        <v>#DIV/0!</v>
      </c>
      <c r="BZ16" s="22" t="e">
        <f t="shared" si="30"/>
        <v>#DIV/0!</v>
      </c>
      <c r="CA16" s="22" t="e">
        <f t="shared" si="30"/>
        <v>#DIV/0!</v>
      </c>
      <c r="CB16" s="22" t="e">
        <f t="shared" ref="CB16:CP16" si="31">CB10/CB11</f>
        <v>#DIV/0!</v>
      </c>
      <c r="CC16" s="22" t="e">
        <f t="shared" si="31"/>
        <v>#DIV/0!</v>
      </c>
      <c r="CD16" s="22" t="e">
        <f t="shared" si="31"/>
        <v>#DIV/0!</v>
      </c>
      <c r="CE16" s="22" t="e">
        <f t="shared" si="31"/>
        <v>#DIV/0!</v>
      </c>
      <c r="CF16" s="22" t="e">
        <f t="shared" si="31"/>
        <v>#DIV/0!</v>
      </c>
      <c r="CG16" s="22" t="e">
        <f t="shared" si="31"/>
        <v>#DIV/0!</v>
      </c>
      <c r="CH16" s="22" t="e">
        <f t="shared" si="31"/>
        <v>#DIV/0!</v>
      </c>
      <c r="CI16" s="22" t="e">
        <f t="shared" si="31"/>
        <v>#DIV/0!</v>
      </c>
      <c r="CJ16" s="22" t="e">
        <f t="shared" si="31"/>
        <v>#DIV/0!</v>
      </c>
      <c r="CK16" s="22" t="e">
        <f t="shared" si="31"/>
        <v>#DIV/0!</v>
      </c>
      <c r="CL16" s="22" t="e">
        <f t="shared" si="31"/>
        <v>#DIV/0!</v>
      </c>
      <c r="CM16" s="22" t="e">
        <f t="shared" si="31"/>
        <v>#DIV/0!</v>
      </c>
      <c r="CN16" s="22" t="e">
        <f t="shared" si="31"/>
        <v>#DIV/0!</v>
      </c>
      <c r="CO16" s="22" t="e">
        <f t="shared" si="31"/>
        <v>#DIV/0!</v>
      </c>
      <c r="CP16" s="22" t="e">
        <f t="shared" si="31"/>
        <v>#DIV/0!</v>
      </c>
    </row>
    <row r="17" spans="1:94" s="66" customFormat="1" x14ac:dyDescent="0.35">
      <c r="J17" s="67"/>
      <c r="K17" s="6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row>
    <row r="18" spans="1:94" s="66" customFormat="1" x14ac:dyDescent="0.35">
      <c r="A18" s="1" t="s">
        <v>247</v>
      </c>
      <c r="B18"/>
      <c r="C18"/>
      <c r="D18"/>
      <c r="E18" s="1" t="s">
        <v>248</v>
      </c>
      <c r="F18"/>
      <c r="I18"/>
      <c r="J18"/>
      <c r="K18"/>
    </row>
    <row r="19" spans="1:94" s="52" customFormat="1" x14ac:dyDescent="0.35">
      <c r="A19"/>
      <c r="B19"/>
      <c r="C19" s="1" t="s">
        <v>124</v>
      </c>
      <c r="D19"/>
      <c r="E19"/>
      <c r="F19"/>
      <c r="G19" s="66"/>
      <c r="H19" s="66"/>
      <c r="I19" s="1" t="s">
        <v>236</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row>
    <row r="20" spans="1:94" x14ac:dyDescent="0.35">
      <c r="G20" s="66"/>
      <c r="H20" s="66"/>
      <c r="J20" s="66"/>
    </row>
    <row r="21" spans="1:94" x14ac:dyDescent="0.35">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row>
    <row r="22" spans="1:94" ht="15" thickBot="1" x14ac:dyDescent="0.4">
      <c r="C22" s="50" t="s">
        <v>125</v>
      </c>
      <c r="I22" s="50" t="s">
        <v>234</v>
      </c>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row>
    <row r="23" spans="1:94" ht="15" thickBot="1" x14ac:dyDescent="0.4">
      <c r="C23" s="202"/>
      <c r="I23" s="202"/>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row>
    <row r="24" spans="1:94" x14ac:dyDescent="0.35">
      <c r="C24" s="51"/>
      <c r="I24" s="51"/>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row>
    <row r="25" spans="1:94" ht="15" thickBot="1" x14ac:dyDescent="0.4">
      <c r="C25" s="50" t="s">
        <v>126</v>
      </c>
      <c r="I25" s="50" t="s">
        <v>235</v>
      </c>
      <c r="J25" s="52"/>
      <c r="K25" s="14"/>
      <c r="L25" s="14"/>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2"/>
      <c r="CP25" s="52"/>
    </row>
    <row r="26" spans="1:94" ht="15" thickBot="1" x14ac:dyDescent="0.4">
      <c r="C26" s="202"/>
      <c r="I26" s="202"/>
    </row>
    <row r="33" spans="1:94" x14ac:dyDescent="0.35">
      <c r="E33" s="13"/>
      <c r="F33" s="13"/>
      <c r="I33" s="1" t="s">
        <v>244</v>
      </c>
    </row>
    <row r="35" spans="1:94" x14ac:dyDescent="0.35">
      <c r="C35" s="13"/>
      <c r="D35" s="13"/>
    </row>
    <row r="36" spans="1:94" ht="15" thickBot="1" x14ac:dyDescent="0.4">
      <c r="C36" s="13"/>
      <c r="D36" s="13"/>
      <c r="I36" s="50" t="s">
        <v>242</v>
      </c>
    </row>
    <row r="37" spans="1:94" ht="15" thickBot="1" x14ac:dyDescent="0.4">
      <c r="I37" s="202"/>
    </row>
    <row r="38" spans="1:94" x14ac:dyDescent="0.35">
      <c r="I38" s="51"/>
    </row>
    <row r="39" spans="1:94" ht="15" thickBot="1" x14ac:dyDescent="0.4">
      <c r="I39" s="50" t="s">
        <v>243</v>
      </c>
    </row>
    <row r="40" spans="1:94" ht="15" thickBot="1" x14ac:dyDescent="0.4">
      <c r="I40" s="202"/>
    </row>
    <row r="42" spans="1:94" x14ac:dyDescent="0.35">
      <c r="A42" s="13"/>
      <c r="B42" s="13"/>
      <c r="C42" s="13"/>
      <c r="D42" s="13"/>
    </row>
    <row r="43" spans="1:94" x14ac:dyDescent="0.35">
      <c r="E43" s="13"/>
      <c r="F43" s="13"/>
      <c r="G43" s="13"/>
      <c r="H43" s="13"/>
    </row>
    <row r="44" spans="1:94" s="13" customFormat="1" x14ac:dyDescent="0.35">
      <c r="A44"/>
      <c r="B44" s="41"/>
      <c r="C44" s="41"/>
      <c r="D44" s="41"/>
      <c r="E44"/>
      <c r="F44"/>
      <c r="G44"/>
      <c r="H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row>
    <row r="45" spans="1:94" x14ac:dyDescent="0.35">
      <c r="B45" s="41"/>
      <c r="C45" s="41"/>
      <c r="D45" s="41"/>
      <c r="E45" s="41"/>
      <c r="F45" s="41"/>
      <c r="G45" s="41"/>
      <c r="J45" s="13"/>
    </row>
    <row r="46" spans="1:94" x14ac:dyDescent="0.35">
      <c r="B46" s="41"/>
      <c r="C46" s="41"/>
      <c r="D46" s="41"/>
      <c r="E46" s="41"/>
      <c r="F46" s="41"/>
      <c r="G46" s="41"/>
    </row>
    <row r="47" spans="1:94" x14ac:dyDescent="0.35">
      <c r="A47" s="48"/>
      <c r="B47" s="41"/>
      <c r="D47" s="41"/>
      <c r="E47" s="41"/>
    </row>
    <row r="48" spans="1:94" x14ac:dyDescent="0.35">
      <c r="A48" s="41"/>
      <c r="B48" s="41"/>
      <c r="D48" s="41"/>
      <c r="E48" s="41"/>
      <c r="H48" s="41"/>
    </row>
    <row r="49" spans="8:94" x14ac:dyDescent="0.35">
      <c r="H49" s="41"/>
    </row>
    <row r="50" spans="8:94" x14ac:dyDescent="0.35">
      <c r="H50" s="41"/>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row>
    <row r="51" spans="8:94" x14ac:dyDescent="0.35">
      <c r="H51" s="41"/>
    </row>
    <row r="52" spans="8:94" x14ac:dyDescent="0.35">
      <c r="H52" s="41"/>
      <c r="I52" s="41"/>
    </row>
    <row r="53" spans="8:94" x14ac:dyDescent="0.35">
      <c r="I53" s="41"/>
    </row>
    <row r="54" spans="8:94" x14ac:dyDescent="0.35">
      <c r="I54" s="41"/>
      <c r="J54" s="41"/>
    </row>
    <row r="55" spans="8:94" x14ac:dyDescent="0.35">
      <c r="I55" s="41"/>
      <c r="J55" s="41"/>
    </row>
    <row r="56" spans="8:94" x14ac:dyDescent="0.35">
      <c r="I56" s="41"/>
      <c r="J56" s="41"/>
    </row>
    <row r="57" spans="8:94" x14ac:dyDescent="0.35">
      <c r="J57" s="41"/>
    </row>
    <row r="58" spans="8:94" x14ac:dyDescent="0.35">
      <c r="J58" s="41"/>
    </row>
  </sheetData>
  <sheetProtection sheet="1" objects="1" scenarios="1"/>
  <mergeCells count="2">
    <mergeCell ref="K3:K6"/>
    <mergeCell ref="A2:J5"/>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P51"/>
  <sheetViews>
    <sheetView tabSelected="1" topLeftCell="B1" zoomScaleNormal="100" workbookViewId="0">
      <selection activeCell="D8" sqref="D8"/>
    </sheetView>
  </sheetViews>
  <sheetFormatPr baseColWidth="10" defaultRowHeight="14.5" x14ac:dyDescent="0.35"/>
  <cols>
    <col min="1" max="1" width="45.453125" customWidth="1"/>
    <col min="2" max="2" width="38.6328125" bestFit="1" customWidth="1"/>
    <col min="3" max="3" width="10.08984375" bestFit="1" customWidth="1"/>
    <col min="5" max="5" width="9.1796875" bestFit="1" customWidth="1"/>
    <col min="6" max="6" width="9" customWidth="1"/>
  </cols>
  <sheetData>
    <row r="1" spans="1:8" ht="15" thickBot="1" x14ac:dyDescent="0.4">
      <c r="A1" s="1" t="s">
        <v>0</v>
      </c>
    </row>
    <row r="2" spans="1:8" ht="15" thickBot="1" x14ac:dyDescent="0.4">
      <c r="A2" s="2" t="s">
        <v>2</v>
      </c>
      <c r="B2" s="2" t="s">
        <v>3</v>
      </c>
      <c r="C2" s="89" t="s">
        <v>129</v>
      </c>
      <c r="D2" s="203"/>
      <c r="E2" s="91" t="s">
        <v>4</v>
      </c>
      <c r="F2" s="3"/>
    </row>
    <row r="3" spans="1:8" ht="15" thickBot="1" x14ac:dyDescent="0.4">
      <c r="A3" s="2" t="s">
        <v>5</v>
      </c>
      <c r="B3" s="2" t="s">
        <v>3</v>
      </c>
      <c r="C3" s="89" t="s">
        <v>130</v>
      </c>
      <c r="D3" s="199"/>
      <c r="E3" s="91" t="s">
        <v>6</v>
      </c>
      <c r="F3" s="3"/>
    </row>
    <row r="4" spans="1:8" ht="15" thickBot="1" x14ac:dyDescent="0.4">
      <c r="A4" s="4" t="s">
        <v>7</v>
      </c>
      <c r="B4" s="4" t="s">
        <v>3</v>
      </c>
      <c r="C4" s="93" t="s">
        <v>131</v>
      </c>
      <c r="D4" s="204"/>
      <c r="E4" s="94" t="s">
        <v>6</v>
      </c>
      <c r="F4" s="5"/>
    </row>
    <row r="5" spans="1:8" x14ac:dyDescent="0.35">
      <c r="A5" s="2" t="s">
        <v>8</v>
      </c>
      <c r="B5" s="6" t="s">
        <v>208</v>
      </c>
      <c r="C5" s="6" t="s">
        <v>9</v>
      </c>
      <c r="D5" s="95">
        <f>IF(ISBLANK(D4),0.1,(D4/D3)-1)</f>
        <v>0.1</v>
      </c>
      <c r="E5" s="2" t="s">
        <v>10</v>
      </c>
      <c r="F5" s="3" t="s">
        <v>11</v>
      </c>
    </row>
    <row r="6" spans="1:8" ht="15" thickBot="1" x14ac:dyDescent="0.4">
      <c r="A6" s="2" t="s">
        <v>12</v>
      </c>
      <c r="B6" s="2" t="s">
        <v>210</v>
      </c>
      <c r="C6" s="2" t="s">
        <v>209</v>
      </c>
      <c r="D6" s="44">
        <f>D2*D3</f>
        <v>0</v>
      </c>
      <c r="E6" s="2" t="s">
        <v>13</v>
      </c>
      <c r="F6" s="3"/>
    </row>
    <row r="7" spans="1:8" ht="15" thickBot="1" x14ac:dyDescent="0.4">
      <c r="A7" s="2" t="s">
        <v>37</v>
      </c>
      <c r="B7" s="2" t="s">
        <v>154</v>
      </c>
      <c r="C7" s="89" t="s">
        <v>38</v>
      </c>
      <c r="D7" s="205"/>
      <c r="E7" s="91" t="s">
        <v>39</v>
      </c>
      <c r="F7" s="3"/>
    </row>
    <row r="8" spans="1:8" ht="15" thickBot="1" x14ac:dyDescent="0.4">
      <c r="A8" s="2" t="s">
        <v>128</v>
      </c>
      <c r="B8" s="2" t="s">
        <v>154</v>
      </c>
      <c r="C8" s="89" t="s">
        <v>25</v>
      </c>
      <c r="D8" s="199"/>
      <c r="E8" s="91" t="s">
        <v>41</v>
      </c>
      <c r="F8" s="3"/>
    </row>
    <row r="9" spans="1:8" ht="15" thickBot="1" x14ac:dyDescent="0.4">
      <c r="A9" s="6" t="s">
        <v>42</v>
      </c>
      <c r="B9" s="6" t="s">
        <v>375</v>
      </c>
      <c r="C9" s="138" t="s">
        <v>93</v>
      </c>
      <c r="D9" s="199"/>
      <c r="E9" s="180" t="s">
        <v>41</v>
      </c>
      <c r="F9" s="20" t="s">
        <v>43</v>
      </c>
    </row>
    <row r="10" spans="1:8" x14ac:dyDescent="0.35">
      <c r="A10" s="13"/>
      <c r="B10" s="34"/>
      <c r="C10" s="13"/>
      <c r="D10" s="14"/>
      <c r="E10" s="14"/>
      <c r="F10" s="14"/>
      <c r="H10" s="143"/>
    </row>
    <row r="11" spans="1:8" ht="15" thickBot="1" x14ac:dyDescent="0.4">
      <c r="A11" s="1" t="s">
        <v>66</v>
      </c>
    </row>
    <row r="12" spans="1:8" ht="15" thickBot="1" x14ac:dyDescent="0.4">
      <c r="A12" s="2" t="s">
        <v>67</v>
      </c>
      <c r="B12" s="6" t="s">
        <v>362</v>
      </c>
      <c r="C12" s="138" t="s">
        <v>340</v>
      </c>
      <c r="D12" s="181">
        <f>D3*(D23+D16)/100+D5*D3*D2</f>
        <v>0</v>
      </c>
      <c r="E12" s="104" t="s">
        <v>13</v>
      </c>
      <c r="F12" s="3" t="s">
        <v>68</v>
      </c>
    </row>
    <row r="13" spans="1:8" x14ac:dyDescent="0.35">
      <c r="A13" s="13"/>
      <c r="B13" s="14"/>
      <c r="C13" s="14"/>
      <c r="D13" s="53"/>
      <c r="E13" s="14"/>
      <c r="F13" s="14"/>
    </row>
    <row r="14" spans="1:8" ht="15" thickBot="1" x14ac:dyDescent="0.4">
      <c r="A14" s="1" t="s">
        <v>374</v>
      </c>
    </row>
    <row r="15" spans="1:8" ht="15" thickBot="1" x14ac:dyDescent="0.4">
      <c r="A15" s="164" t="s">
        <v>264</v>
      </c>
      <c r="B15" s="164" t="s">
        <v>265</v>
      </c>
      <c r="C15" s="89" t="s">
        <v>140</v>
      </c>
      <c r="D15" s="199"/>
      <c r="E15" s="97" t="s">
        <v>10</v>
      </c>
      <c r="F15" s="3"/>
    </row>
    <row r="16" spans="1:8" ht="15" thickBot="1" x14ac:dyDescent="0.4">
      <c r="A16" s="167" t="s">
        <v>329</v>
      </c>
      <c r="B16" s="166"/>
      <c r="C16" s="146" t="s">
        <v>330</v>
      </c>
      <c r="D16" s="205"/>
      <c r="E16" s="147" t="s">
        <v>57</v>
      </c>
      <c r="F16" s="27"/>
    </row>
    <row r="17" spans="1:11" ht="15" thickBot="1" x14ac:dyDescent="0.4">
      <c r="A17" s="39" t="s">
        <v>253</v>
      </c>
      <c r="B17" s="39" t="s">
        <v>226</v>
      </c>
      <c r="C17" s="101" t="s">
        <v>341</v>
      </c>
      <c r="D17" s="206"/>
      <c r="E17" s="103" t="s">
        <v>13</v>
      </c>
      <c r="F17" s="3"/>
    </row>
    <row r="18" spans="1:11" x14ac:dyDescent="0.35">
      <c r="A18" s="13"/>
      <c r="B18" s="34"/>
      <c r="C18" s="13"/>
      <c r="D18" s="14"/>
      <c r="E18" s="14"/>
      <c r="F18" s="14"/>
    </row>
    <row r="19" spans="1:11" ht="15" thickBot="1" x14ac:dyDescent="0.4">
      <c r="A19" s="1" t="s">
        <v>50</v>
      </c>
    </row>
    <row r="20" spans="1:11" ht="15" thickBot="1" x14ac:dyDescent="0.4">
      <c r="A20" s="164" t="s">
        <v>264</v>
      </c>
      <c r="B20" s="164" t="s">
        <v>265</v>
      </c>
      <c r="C20" s="89" t="s">
        <v>140</v>
      </c>
      <c r="D20" s="199"/>
      <c r="E20" s="97" t="s">
        <v>10</v>
      </c>
      <c r="F20" s="3"/>
    </row>
    <row r="21" spans="1:11" ht="15" thickBot="1" x14ac:dyDescent="0.4">
      <c r="A21" s="131" t="s">
        <v>294</v>
      </c>
      <c r="B21" s="165" t="s">
        <v>287</v>
      </c>
      <c r="C21" s="96" t="s">
        <v>284</v>
      </c>
      <c r="D21" s="207"/>
      <c r="E21" s="97" t="s">
        <v>57</v>
      </c>
      <c r="F21" s="3"/>
    </row>
    <row r="22" spans="1:11" ht="15" thickBot="1" x14ac:dyDescent="0.4">
      <c r="A22" s="131" t="s">
        <v>328</v>
      </c>
      <c r="B22" s="165" t="s">
        <v>288</v>
      </c>
      <c r="C22" s="96" t="s">
        <v>285</v>
      </c>
      <c r="D22" s="207"/>
      <c r="E22" s="97" t="s">
        <v>57</v>
      </c>
      <c r="F22" s="3"/>
    </row>
    <row r="23" spans="1:11" x14ac:dyDescent="0.35">
      <c r="A23" s="164" t="s">
        <v>283</v>
      </c>
      <c r="B23" s="165"/>
      <c r="C23" s="96" t="s">
        <v>141</v>
      </c>
      <c r="D23" s="99">
        <f>SUM(D21:D22)</f>
        <v>0</v>
      </c>
      <c r="E23" s="10" t="s">
        <v>57</v>
      </c>
      <c r="F23" s="3"/>
    </row>
    <row r="24" spans="1:11" x14ac:dyDescent="0.35">
      <c r="A24" s="256" t="s">
        <v>240</v>
      </c>
      <c r="B24" s="257"/>
      <c r="C24" s="10" t="s">
        <v>233</v>
      </c>
      <c r="D24" s="135">
        <f>Gewässerhydraulik!C23</f>
        <v>0</v>
      </c>
      <c r="E24" s="42"/>
      <c r="F24" s="14"/>
    </row>
    <row r="25" spans="1:11" x14ac:dyDescent="0.35">
      <c r="A25" s="258"/>
      <c r="B25" s="259"/>
      <c r="C25" s="147" t="s">
        <v>232</v>
      </c>
      <c r="D25" s="136">
        <f>Gewässerhydraulik!C26</f>
        <v>0</v>
      </c>
      <c r="E25" s="42"/>
      <c r="F25" s="14"/>
    </row>
    <row r="26" spans="1:11" x14ac:dyDescent="0.35">
      <c r="A26" s="2" t="s">
        <v>369</v>
      </c>
      <c r="B26" s="2" t="s">
        <v>252</v>
      </c>
      <c r="C26" s="2" t="s">
        <v>370</v>
      </c>
      <c r="D26" s="22" t="e">
        <f>$D24*D6^$D25</f>
        <v>#NUM!</v>
      </c>
      <c r="E26" s="177" t="s">
        <v>39</v>
      </c>
    </row>
    <row r="27" spans="1:11" ht="15" thickBot="1" x14ac:dyDescent="0.4">
      <c r="A27" s="2" t="s">
        <v>368</v>
      </c>
      <c r="B27" s="2" t="s">
        <v>158</v>
      </c>
      <c r="C27" s="2" t="s">
        <v>371</v>
      </c>
      <c r="D27" s="44" t="e">
        <f>($D9/D26)/60</f>
        <v>#NUM!</v>
      </c>
      <c r="E27" s="178" t="s">
        <v>157</v>
      </c>
    </row>
    <row r="28" spans="1:11" ht="15" thickBot="1" x14ac:dyDescent="0.4">
      <c r="A28" s="164" t="s">
        <v>391</v>
      </c>
      <c r="B28" s="165"/>
      <c r="C28" s="96" t="s">
        <v>211</v>
      </c>
      <c r="D28" s="199"/>
      <c r="E28" s="199"/>
      <c r="F28" s="91" t="s">
        <v>157</v>
      </c>
    </row>
    <row r="29" spans="1:11" ht="15" thickBot="1" x14ac:dyDescent="0.4">
      <c r="A29" s="260" t="s">
        <v>372</v>
      </c>
      <c r="B29" s="260"/>
      <c r="C29" s="96" t="s">
        <v>324</v>
      </c>
      <c r="D29" s="199"/>
      <c r="E29" s="199"/>
      <c r="F29" s="91" t="s">
        <v>323</v>
      </c>
    </row>
    <row r="30" spans="1:11" x14ac:dyDescent="0.35">
      <c r="A30" s="171"/>
      <c r="B30" s="171"/>
      <c r="C30" s="34"/>
      <c r="D30" s="14"/>
      <c r="E30" s="14"/>
    </row>
    <row r="31" spans="1:11" x14ac:dyDescent="0.35">
      <c r="A31" s="170" t="s">
        <v>376</v>
      </c>
      <c r="B31" s="171"/>
      <c r="C31" s="34"/>
      <c r="D31" s="172">
        <v>1</v>
      </c>
      <c r="E31" s="172">
        <v>2</v>
      </c>
      <c r="F31" s="173">
        <v>3</v>
      </c>
      <c r="G31" s="173">
        <v>4</v>
      </c>
      <c r="H31" s="173">
        <v>5</v>
      </c>
      <c r="K31" s="1" t="s">
        <v>373</v>
      </c>
    </row>
    <row r="32" spans="1:11" x14ac:dyDescent="0.35">
      <c r="A32" s="164" t="s">
        <v>212</v>
      </c>
      <c r="B32" s="38"/>
      <c r="C32" s="96" t="s">
        <v>211</v>
      </c>
      <c r="D32" s="22" t="e">
        <f>D27</f>
        <v>#NUM!</v>
      </c>
      <c r="E32" s="22" t="e">
        <f>D40</f>
        <v>#NUM!</v>
      </c>
      <c r="F32" s="22" t="e">
        <f>E40</f>
        <v>#NUM!</v>
      </c>
      <c r="G32" s="22" t="e">
        <f t="shared" ref="G32:H32" si="0">F40</f>
        <v>#NUM!</v>
      </c>
      <c r="H32" s="22" t="e">
        <f t="shared" si="0"/>
        <v>#NUM!</v>
      </c>
      <c r="I32" s="91" t="s">
        <v>157</v>
      </c>
    </row>
    <row r="33" spans="1:16" x14ac:dyDescent="0.35">
      <c r="A33" s="261" t="s">
        <v>325</v>
      </c>
      <c r="B33" s="262"/>
      <c r="C33" s="115" t="s">
        <v>324</v>
      </c>
      <c r="D33" s="22" t="e">
        <f>$D29+(D32-$D28)*(($E29-$D29)/($E28-$D28))</f>
        <v>#NUM!</v>
      </c>
      <c r="E33" s="22" t="e">
        <f>$D29+(E32-$D28)*(($E29-$D29)/($E28-$D28))</f>
        <v>#NUM!</v>
      </c>
      <c r="F33" s="22" t="e">
        <f>$D29+(F32-$D28)*(($E29-$D29)/($E28-$D28))</f>
        <v>#NUM!</v>
      </c>
      <c r="G33" s="22" t="e">
        <f t="shared" ref="G33:H33" si="1">$D29+(G32-$D28)*(($E29-$D29)/($E28-$D28))</f>
        <v>#NUM!</v>
      </c>
      <c r="H33" s="22" t="e">
        <f t="shared" si="1"/>
        <v>#NUM!</v>
      </c>
      <c r="I33" s="91" t="s">
        <v>323</v>
      </c>
    </row>
    <row r="34" spans="1:16" x14ac:dyDescent="0.35">
      <c r="A34" s="260" t="s">
        <v>58</v>
      </c>
      <c r="B34" s="260"/>
      <c r="C34" s="2" t="s">
        <v>143</v>
      </c>
      <c r="D34" s="22" t="e">
        <f>D33*10000/(60*D32)</f>
        <v>#NUM!</v>
      </c>
      <c r="E34" s="22" t="e">
        <f>E33*10000/(60*E32)</f>
        <v>#NUM!</v>
      </c>
      <c r="F34" s="22" t="e">
        <f>F33*10000/(60*F32)</f>
        <v>#NUM!</v>
      </c>
      <c r="G34" s="22" t="e">
        <f t="shared" ref="G34:H34" si="2">G33*10000/(60*G32)</f>
        <v>#NUM!</v>
      </c>
      <c r="H34" s="44" t="e">
        <f t="shared" si="2"/>
        <v>#NUM!</v>
      </c>
      <c r="I34" s="91" t="s">
        <v>59</v>
      </c>
    </row>
    <row r="35" spans="1:16" x14ac:dyDescent="0.35">
      <c r="A35" s="169" t="s">
        <v>386</v>
      </c>
      <c r="B35" s="168" t="s">
        <v>389</v>
      </c>
      <c r="C35" s="2" t="s">
        <v>383</v>
      </c>
      <c r="D35" s="22" t="e">
        <f>MIN($D16*$D15*D34,$D17)</f>
        <v>#NUM!</v>
      </c>
      <c r="E35" s="22" t="e">
        <f t="shared" ref="E35:H35" si="3">MIN($D16*$D15*E34,$D17)</f>
        <v>#NUM!</v>
      </c>
      <c r="F35" s="22" t="e">
        <f t="shared" si="3"/>
        <v>#NUM!</v>
      </c>
      <c r="G35" s="22" t="e">
        <f t="shared" si="3"/>
        <v>#NUM!</v>
      </c>
      <c r="H35" s="22" t="e">
        <f t="shared" si="3"/>
        <v>#NUM!</v>
      </c>
      <c r="I35" s="6" t="s">
        <v>13</v>
      </c>
    </row>
    <row r="36" spans="1:16" ht="15" thickBot="1" x14ac:dyDescent="0.4">
      <c r="A36" s="169" t="s">
        <v>387</v>
      </c>
      <c r="B36" s="168" t="s">
        <v>388</v>
      </c>
      <c r="C36" s="2" t="s">
        <v>384</v>
      </c>
      <c r="D36" s="22" t="e">
        <f>$D23*$D20*D34</f>
        <v>#NUM!</v>
      </c>
      <c r="E36" s="22" t="e">
        <f t="shared" ref="E36:H36" si="4">$D23*$D20*E34</f>
        <v>#NUM!</v>
      </c>
      <c r="F36" s="22" t="e">
        <f t="shared" si="4"/>
        <v>#NUM!</v>
      </c>
      <c r="G36" s="22" t="e">
        <f t="shared" si="4"/>
        <v>#NUM!</v>
      </c>
      <c r="H36" s="44" t="e">
        <f t="shared" si="4"/>
        <v>#NUM!</v>
      </c>
      <c r="I36" s="6" t="s">
        <v>13</v>
      </c>
    </row>
    <row r="37" spans="1:16" ht="15" thickBot="1" x14ac:dyDescent="0.4">
      <c r="A37" s="2" t="s">
        <v>385</v>
      </c>
      <c r="B37" s="164" t="s">
        <v>390</v>
      </c>
      <c r="C37" s="2" t="s">
        <v>339</v>
      </c>
      <c r="D37" s="22" t="e">
        <f>D36+D35</f>
        <v>#NUM!</v>
      </c>
      <c r="E37" s="22" t="e">
        <f t="shared" ref="E37:H37" si="5">E36+E35</f>
        <v>#NUM!</v>
      </c>
      <c r="F37" s="22" t="e">
        <f t="shared" si="5"/>
        <v>#NUM!</v>
      </c>
      <c r="G37" s="175" t="e">
        <f t="shared" si="5"/>
        <v>#NUM!</v>
      </c>
      <c r="H37" s="181" t="e">
        <f t="shared" si="5"/>
        <v>#NUM!</v>
      </c>
      <c r="I37" s="104" t="s">
        <v>13</v>
      </c>
      <c r="K37" s="176" t="e">
        <f>IF(H37&lt;D12, "JA","NEIN")</f>
        <v>#NUM!</v>
      </c>
    </row>
    <row r="38" spans="1:16" x14ac:dyDescent="0.35">
      <c r="A38" s="2" t="s">
        <v>63</v>
      </c>
      <c r="B38" s="164" t="s">
        <v>363</v>
      </c>
      <c r="C38" s="2" t="s">
        <v>147</v>
      </c>
      <c r="D38" s="22" t="e">
        <f>$D6+D37</f>
        <v>#NUM!</v>
      </c>
      <c r="E38" s="22" t="e">
        <f>$D6+E37</f>
        <v>#NUM!</v>
      </c>
      <c r="F38" s="22" t="e">
        <f>$D6+F37</f>
        <v>#NUM!</v>
      </c>
      <c r="G38" s="22" t="e">
        <f>$D6+G37</f>
        <v>#NUM!</v>
      </c>
      <c r="H38" s="92" t="e">
        <f>$D6+H37</f>
        <v>#NUM!</v>
      </c>
      <c r="I38" s="6" t="s">
        <v>13</v>
      </c>
    </row>
    <row r="39" spans="1:16" x14ac:dyDescent="0.35">
      <c r="A39" s="2" t="s">
        <v>85</v>
      </c>
      <c r="B39" s="2" t="s">
        <v>252</v>
      </c>
      <c r="C39" s="2" t="s">
        <v>149</v>
      </c>
      <c r="D39" s="22" t="e">
        <f>$D24*D38^$D25</f>
        <v>#NUM!</v>
      </c>
      <c r="E39" s="22" t="e">
        <f>$D24*E38^$D25</f>
        <v>#NUM!</v>
      </c>
      <c r="F39" s="22" t="e">
        <f>$D24*F38^$D25</f>
        <v>#NUM!</v>
      </c>
      <c r="G39" s="22" t="e">
        <f t="shared" ref="G39:H39" si="6">$D24*G38^$D25</f>
        <v>#NUM!</v>
      </c>
      <c r="H39" s="22" t="e">
        <f t="shared" si="6"/>
        <v>#NUM!</v>
      </c>
      <c r="I39" s="2" t="s">
        <v>39</v>
      </c>
    </row>
    <row r="40" spans="1:16" x14ac:dyDescent="0.35">
      <c r="A40" s="2" t="s">
        <v>155</v>
      </c>
      <c r="B40" s="2" t="s">
        <v>158</v>
      </c>
      <c r="C40" s="2" t="s">
        <v>156</v>
      </c>
      <c r="D40" s="22" t="e">
        <f>($D9/D39)/60</f>
        <v>#NUM!</v>
      </c>
      <c r="E40" s="22" t="e">
        <f>($D9/E39)/60</f>
        <v>#NUM!</v>
      </c>
      <c r="F40" s="22" t="e">
        <f>($D9/F39)/60</f>
        <v>#NUM!</v>
      </c>
      <c r="G40" s="22" t="e">
        <f>($D9/G39)/60</f>
        <v>#NUM!</v>
      </c>
      <c r="H40" s="22" t="e">
        <f>($D9/H39)/60</f>
        <v>#NUM!</v>
      </c>
      <c r="I40" s="2" t="s">
        <v>157</v>
      </c>
    </row>
    <row r="41" spans="1:16" s="49" customFormat="1" ht="15" thickBot="1" x14ac:dyDescent="0.4">
      <c r="D41" s="174"/>
      <c r="E41" s="174"/>
      <c r="F41" s="174"/>
      <c r="G41" s="174"/>
      <c r="H41" s="174"/>
    </row>
    <row r="42" spans="1:16" s="52" customFormat="1" x14ac:dyDescent="0.35">
      <c r="A42" s="79" t="s">
        <v>230</v>
      </c>
      <c r="B42" s="80"/>
      <c r="C42" s="80"/>
      <c r="D42" s="80"/>
      <c r="E42" s="80"/>
      <c r="F42" s="80"/>
      <c r="G42" s="80"/>
      <c r="H42" s="80"/>
      <c r="I42" s="80"/>
      <c r="J42" s="80"/>
      <c r="K42" s="80"/>
      <c r="L42" s="80"/>
      <c r="M42" s="80"/>
      <c r="N42" s="80"/>
      <c r="O42" s="80"/>
      <c r="P42" s="80"/>
    </row>
    <row r="43" spans="1:16" s="52" customFormat="1" x14ac:dyDescent="0.35">
      <c r="A43" s="81" t="s">
        <v>231</v>
      </c>
      <c r="B43" s="81"/>
      <c r="C43" s="81"/>
      <c r="D43" s="81"/>
      <c r="E43" s="81"/>
      <c r="F43" s="81"/>
      <c r="G43" s="81"/>
      <c r="H43" s="81"/>
      <c r="I43" s="81"/>
      <c r="J43" s="81"/>
      <c r="K43" s="80"/>
      <c r="L43" s="80"/>
      <c r="M43" s="80"/>
      <c r="N43" s="80"/>
      <c r="O43" s="80"/>
      <c r="P43" s="80"/>
    </row>
    <row r="44" spans="1:16" s="52" customFormat="1" x14ac:dyDescent="0.35">
      <c r="A44" s="81" t="s">
        <v>239</v>
      </c>
      <c r="B44" s="81"/>
      <c r="C44" s="81"/>
      <c r="D44" s="81"/>
      <c r="E44" s="81"/>
      <c r="F44" s="81"/>
      <c r="G44" s="81"/>
      <c r="H44" s="81"/>
      <c r="I44" s="81"/>
      <c r="J44" s="81"/>
      <c r="K44" s="80"/>
      <c r="L44" s="80"/>
      <c r="M44" s="80"/>
      <c r="N44" s="80"/>
      <c r="O44" s="80"/>
      <c r="P44" s="80"/>
    </row>
    <row r="45" spans="1:16" s="52" customFormat="1" x14ac:dyDescent="0.35">
      <c r="A45" s="81" t="s">
        <v>286</v>
      </c>
      <c r="B45" s="81"/>
      <c r="C45" s="81"/>
      <c r="D45" s="81"/>
      <c r="E45" s="81"/>
      <c r="F45" s="81"/>
      <c r="G45" s="81"/>
      <c r="H45" s="81"/>
      <c r="I45" s="81"/>
      <c r="J45" s="81"/>
      <c r="K45" s="80"/>
      <c r="L45" s="80"/>
      <c r="M45" s="80"/>
      <c r="N45" s="80"/>
      <c r="O45" s="80"/>
      <c r="P45" s="80"/>
    </row>
    <row r="46" spans="1:16" s="52" customFormat="1" x14ac:dyDescent="0.35">
      <c r="A46" s="81" t="s">
        <v>378</v>
      </c>
      <c r="B46" s="81"/>
      <c r="C46" s="81"/>
      <c r="D46" s="81"/>
      <c r="E46" s="81"/>
      <c r="F46" s="81"/>
      <c r="G46" s="81"/>
      <c r="H46" s="81"/>
      <c r="I46" s="81"/>
      <c r="J46" s="81"/>
      <c r="K46" s="80"/>
      <c r="L46" s="80"/>
      <c r="M46" s="80"/>
      <c r="N46" s="80"/>
      <c r="O46" s="80"/>
      <c r="P46" s="80"/>
    </row>
    <row r="47" spans="1:16" s="52" customFormat="1" x14ac:dyDescent="0.35">
      <c r="A47" s="81" t="s">
        <v>392</v>
      </c>
      <c r="B47" s="81"/>
      <c r="C47" s="81"/>
      <c r="D47" s="81"/>
      <c r="E47" s="81"/>
      <c r="F47" s="81"/>
      <c r="G47" s="81"/>
      <c r="H47" s="81"/>
      <c r="I47" s="81"/>
      <c r="J47" s="81"/>
      <c r="K47" s="80"/>
      <c r="L47" s="80"/>
      <c r="M47" s="80"/>
      <c r="N47" s="80"/>
      <c r="O47" s="80"/>
      <c r="P47" s="80"/>
    </row>
    <row r="48" spans="1:16" s="52" customFormat="1" x14ac:dyDescent="0.35">
      <c r="A48" s="81" t="s">
        <v>377</v>
      </c>
      <c r="B48" s="81"/>
      <c r="C48" s="81"/>
      <c r="D48" s="81"/>
      <c r="E48" s="81"/>
      <c r="F48" s="81"/>
      <c r="G48" s="81"/>
      <c r="H48" s="81"/>
      <c r="I48" s="81"/>
      <c r="J48" s="81"/>
      <c r="K48" s="80"/>
      <c r="L48" s="80"/>
      <c r="M48" s="80"/>
      <c r="N48" s="80"/>
      <c r="O48" s="80"/>
      <c r="P48" s="80"/>
    </row>
    <row r="49" spans="1:16" s="52" customFormat="1" x14ac:dyDescent="0.35">
      <c r="A49" s="81" t="s">
        <v>379</v>
      </c>
      <c r="B49" s="81"/>
      <c r="C49" s="81"/>
      <c r="D49" s="81"/>
      <c r="E49" s="81"/>
      <c r="F49" s="81"/>
      <c r="G49" s="81"/>
      <c r="H49" s="81"/>
      <c r="I49" s="81"/>
      <c r="J49" s="81"/>
      <c r="K49" s="80"/>
      <c r="L49" s="80"/>
      <c r="M49" s="80"/>
      <c r="N49" s="80"/>
      <c r="O49" s="80"/>
      <c r="P49" s="80"/>
    </row>
    <row r="50" spans="1:16" x14ac:dyDescent="0.35">
      <c r="A50" s="41"/>
      <c r="B50" s="41"/>
      <c r="C50" s="41"/>
      <c r="D50" s="41"/>
      <c r="E50" s="41"/>
      <c r="F50" s="41"/>
      <c r="G50" s="41"/>
      <c r="H50" s="41"/>
      <c r="I50" s="41"/>
      <c r="J50" s="41"/>
      <c r="K50" s="41"/>
      <c r="L50" s="41"/>
      <c r="M50" s="41"/>
      <c r="N50" s="41"/>
    </row>
    <row r="51" spans="1:16" x14ac:dyDescent="0.35">
      <c r="A51" s="41"/>
      <c r="B51" s="41"/>
      <c r="C51" s="41"/>
      <c r="D51" s="41"/>
      <c r="E51" s="41"/>
      <c r="F51" s="41"/>
      <c r="G51" s="41"/>
      <c r="H51" s="41"/>
      <c r="I51" s="41"/>
      <c r="J51" s="41"/>
      <c r="K51" s="41"/>
      <c r="L51" s="41"/>
    </row>
  </sheetData>
  <sheetProtection sheet="1" objects="1" scenarios="1"/>
  <mergeCells count="4">
    <mergeCell ref="A24:B25"/>
    <mergeCell ref="A29:B29"/>
    <mergeCell ref="A34:B34"/>
    <mergeCell ref="A33:B33"/>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P127"/>
  <sheetViews>
    <sheetView topLeftCell="A46" zoomScaleNormal="100" workbookViewId="0">
      <selection activeCell="G64" sqref="G64"/>
    </sheetView>
  </sheetViews>
  <sheetFormatPr baseColWidth="10" defaultRowHeight="14.5" x14ac:dyDescent="0.35"/>
  <cols>
    <col min="1" max="1" width="47.6328125" customWidth="1"/>
    <col min="2" max="2" width="35.36328125" bestFit="1" customWidth="1"/>
    <col min="3" max="3" width="11.54296875" bestFit="1" customWidth="1"/>
    <col min="4" max="4" width="10.54296875" customWidth="1"/>
    <col min="5" max="5" width="10.26953125" bestFit="1" customWidth="1"/>
    <col min="6" max="6" width="10" bestFit="1" customWidth="1"/>
    <col min="7" max="7" width="11.08984375" bestFit="1" customWidth="1"/>
    <col min="8" max="10" width="11.26953125" bestFit="1" customWidth="1"/>
    <col min="11" max="12" width="12.26953125" bestFit="1" customWidth="1"/>
    <col min="14" max="14" width="6.81640625" customWidth="1"/>
  </cols>
  <sheetData>
    <row r="1" spans="1:16" ht="15" thickBot="1" x14ac:dyDescent="0.4">
      <c r="A1" s="1" t="s">
        <v>0</v>
      </c>
      <c r="G1" s="75" t="s">
        <v>271</v>
      </c>
      <c r="H1" s="76"/>
      <c r="I1" s="76"/>
      <c r="J1" s="76"/>
      <c r="K1" s="76"/>
      <c r="L1" s="76"/>
      <c r="M1" s="76"/>
      <c r="N1" s="77"/>
      <c r="P1" t="s">
        <v>1</v>
      </c>
    </row>
    <row r="2" spans="1:16" ht="15" customHeight="1" thickBot="1" x14ac:dyDescent="0.4">
      <c r="A2" s="2" t="s">
        <v>14</v>
      </c>
      <c r="B2" s="2" t="s">
        <v>3</v>
      </c>
      <c r="C2" s="89" t="s">
        <v>14</v>
      </c>
      <c r="D2" s="205"/>
      <c r="E2" s="91" t="s">
        <v>13</v>
      </c>
      <c r="F2" s="56"/>
      <c r="G2" s="250" t="s">
        <v>409</v>
      </c>
      <c r="H2" s="251"/>
      <c r="I2" s="251"/>
      <c r="J2" s="251"/>
      <c r="K2" s="251"/>
      <c r="L2" s="251"/>
      <c r="M2" s="251"/>
      <c r="N2" s="252"/>
    </row>
    <row r="3" spans="1:16" ht="15" thickBot="1" x14ac:dyDescent="0.4">
      <c r="A3" s="2" t="s">
        <v>27</v>
      </c>
      <c r="B3" s="2" t="s">
        <v>28</v>
      </c>
      <c r="C3" s="89" t="s">
        <v>29</v>
      </c>
      <c r="D3" s="205"/>
      <c r="E3" s="91" t="s">
        <v>30</v>
      </c>
      <c r="F3" s="56"/>
      <c r="G3" s="250"/>
      <c r="H3" s="251"/>
      <c r="I3" s="251"/>
      <c r="J3" s="251"/>
      <c r="K3" s="251"/>
      <c r="L3" s="251"/>
      <c r="M3" s="251"/>
      <c r="N3" s="252"/>
    </row>
    <row r="4" spans="1:16" x14ac:dyDescent="0.35">
      <c r="A4" s="2" t="s">
        <v>171</v>
      </c>
      <c r="B4" s="2" t="s">
        <v>31</v>
      </c>
      <c r="C4" s="89" t="s">
        <v>138</v>
      </c>
      <c r="D4" s="205"/>
      <c r="E4" s="91" t="s">
        <v>10</v>
      </c>
      <c r="F4" s="56"/>
      <c r="G4" s="250"/>
      <c r="H4" s="251"/>
      <c r="I4" s="251"/>
      <c r="J4" s="251"/>
      <c r="K4" s="251"/>
      <c r="L4" s="251"/>
      <c r="M4" s="251"/>
      <c r="N4" s="252"/>
    </row>
    <row r="5" spans="1:16" x14ac:dyDescent="0.35">
      <c r="A5" s="2" t="s">
        <v>172</v>
      </c>
      <c r="B5" s="2" t="s">
        <v>32</v>
      </c>
      <c r="C5" s="2" t="s">
        <v>139</v>
      </c>
      <c r="D5" s="95">
        <f>2*(D4-6)</f>
        <v>-12</v>
      </c>
      <c r="E5" s="2" t="s">
        <v>33</v>
      </c>
      <c r="F5" s="56" t="s">
        <v>34</v>
      </c>
      <c r="G5" s="250"/>
      <c r="H5" s="251"/>
      <c r="I5" s="251"/>
      <c r="J5" s="251"/>
      <c r="K5" s="251"/>
      <c r="L5" s="251"/>
      <c r="M5" s="251"/>
      <c r="N5" s="252"/>
    </row>
    <row r="6" spans="1:16" x14ac:dyDescent="0.35">
      <c r="A6" s="2" t="s">
        <v>35</v>
      </c>
      <c r="B6" s="2"/>
      <c r="C6" s="2" t="s">
        <v>200</v>
      </c>
      <c r="D6" s="22">
        <f>D5*((10^-D4)/(10^-6.3)+1)</f>
        <v>-23943159.779626559</v>
      </c>
      <c r="E6" s="2" t="s">
        <v>33</v>
      </c>
      <c r="F6" s="56" t="s">
        <v>36</v>
      </c>
      <c r="G6" s="250"/>
      <c r="H6" s="251"/>
      <c r="I6" s="251"/>
      <c r="J6" s="251"/>
      <c r="K6" s="251"/>
      <c r="L6" s="251"/>
      <c r="M6" s="251"/>
      <c r="N6" s="252"/>
    </row>
    <row r="7" spans="1:16" x14ac:dyDescent="0.35">
      <c r="A7" s="2" t="s">
        <v>37</v>
      </c>
      <c r="B7" s="10" t="s">
        <v>154</v>
      </c>
      <c r="C7" s="2" t="s">
        <v>38</v>
      </c>
      <c r="D7" s="7">
        <f>'Hydrologischer Nachweis'!D7</f>
        <v>0</v>
      </c>
      <c r="E7" s="2" t="s">
        <v>39</v>
      </c>
      <c r="F7" s="56"/>
      <c r="G7" s="250"/>
      <c r="H7" s="251"/>
      <c r="I7" s="251"/>
      <c r="J7" s="251"/>
      <c r="K7" s="251"/>
      <c r="L7" s="251"/>
      <c r="M7" s="251"/>
      <c r="N7" s="252"/>
    </row>
    <row r="8" spans="1:16" ht="15" thickBot="1" x14ac:dyDescent="0.4">
      <c r="A8" s="2" t="s">
        <v>128</v>
      </c>
      <c r="B8" s="10" t="s">
        <v>154</v>
      </c>
      <c r="C8" s="2" t="s">
        <v>25</v>
      </c>
      <c r="D8" s="98">
        <f>'Hydrologischer Nachweis'!D8</f>
        <v>0</v>
      </c>
      <c r="E8" s="2" t="s">
        <v>41</v>
      </c>
      <c r="F8" s="56"/>
      <c r="G8" s="250"/>
      <c r="H8" s="251"/>
      <c r="I8" s="251"/>
      <c r="J8" s="251"/>
      <c r="K8" s="251"/>
      <c r="L8" s="251"/>
      <c r="M8" s="251"/>
      <c r="N8" s="252"/>
    </row>
    <row r="9" spans="1:16" ht="29.5" thickBot="1" x14ac:dyDescent="0.4">
      <c r="A9" s="9" t="s">
        <v>40</v>
      </c>
      <c r="B9" s="10" t="s">
        <v>154</v>
      </c>
      <c r="C9" s="96" t="s">
        <v>132</v>
      </c>
      <c r="D9" s="207"/>
      <c r="E9" s="97" t="s">
        <v>41</v>
      </c>
      <c r="F9" s="88"/>
      <c r="G9" s="250"/>
      <c r="H9" s="251"/>
      <c r="I9" s="251"/>
      <c r="J9" s="251"/>
      <c r="K9" s="251"/>
      <c r="L9" s="251"/>
      <c r="M9" s="251"/>
      <c r="N9" s="252"/>
    </row>
    <row r="10" spans="1:16" x14ac:dyDescent="0.35">
      <c r="A10" s="26" t="s">
        <v>42</v>
      </c>
      <c r="B10" s="26" t="s">
        <v>380</v>
      </c>
      <c r="C10" s="26" t="s">
        <v>133</v>
      </c>
      <c r="D10" s="179">
        <f>MAX(D9,'Hydrologischer Nachweis'!D9)</f>
        <v>0</v>
      </c>
      <c r="E10" s="26" t="s">
        <v>41</v>
      </c>
      <c r="F10" s="141"/>
      <c r="G10" s="250" t="s">
        <v>410</v>
      </c>
      <c r="H10" s="251"/>
      <c r="I10" s="251"/>
      <c r="J10" s="251"/>
      <c r="K10" s="251"/>
      <c r="L10" s="251"/>
      <c r="M10" s="251"/>
      <c r="N10" s="252"/>
    </row>
    <row r="11" spans="1:16" ht="15" thickBot="1" x14ac:dyDescent="0.4">
      <c r="A11" s="124" t="s">
        <v>277</v>
      </c>
      <c r="B11" s="125" t="s">
        <v>275</v>
      </c>
      <c r="C11" s="125" t="s">
        <v>281</v>
      </c>
      <c r="D11" s="126">
        <f>IF(D3=20,9.1,(14.60307-D3*(0.4021469-D3*(0.00768703-0.0000692575*D3)))*EXP(-D$28/7991.0185))</f>
        <v>14.603070000000001</v>
      </c>
      <c r="E11" s="125" t="s">
        <v>44</v>
      </c>
      <c r="F11" s="162"/>
      <c r="G11" s="250"/>
      <c r="H11" s="251"/>
      <c r="I11" s="251"/>
      <c r="J11" s="251"/>
      <c r="K11" s="251"/>
      <c r="L11" s="251"/>
      <c r="M11" s="251"/>
      <c r="N11" s="252"/>
    </row>
    <row r="12" spans="1:16" ht="29.5" thickBot="1" x14ac:dyDescent="0.4">
      <c r="A12" s="118" t="s">
        <v>292</v>
      </c>
      <c r="B12" s="118" t="s">
        <v>280</v>
      </c>
      <c r="C12" s="119" t="s">
        <v>279</v>
      </c>
      <c r="D12" s="208"/>
      <c r="E12" s="120" t="s">
        <v>256</v>
      </c>
      <c r="F12" s="163"/>
      <c r="G12" s="253"/>
      <c r="H12" s="254"/>
      <c r="I12" s="254"/>
      <c r="J12" s="254"/>
      <c r="K12" s="254"/>
      <c r="L12" s="254"/>
      <c r="M12" s="254"/>
      <c r="N12" s="255"/>
    </row>
    <row r="13" spans="1:16" ht="29.5" thickBot="1" x14ac:dyDescent="0.4">
      <c r="A13" s="114" t="s">
        <v>292</v>
      </c>
      <c r="B13" s="19" t="s">
        <v>367</v>
      </c>
      <c r="C13" s="115" t="s">
        <v>134</v>
      </c>
      <c r="D13" s="130">
        <f>D11*(100-D12)/100</f>
        <v>14.603070000000001</v>
      </c>
      <c r="E13" s="116" t="s">
        <v>44</v>
      </c>
      <c r="F13" s="117"/>
    </row>
    <row r="14" spans="1:16" ht="15" thickBot="1" x14ac:dyDescent="0.4">
      <c r="A14" s="266" t="s">
        <v>45</v>
      </c>
      <c r="B14" s="2" t="s">
        <v>46</v>
      </c>
      <c r="C14" s="89" t="s">
        <v>177</v>
      </c>
      <c r="D14" s="209"/>
      <c r="E14" s="91" t="s">
        <v>44</v>
      </c>
      <c r="F14" s="3"/>
    </row>
    <row r="15" spans="1:16" ht="15" thickBot="1" x14ac:dyDescent="0.4">
      <c r="A15" s="266"/>
      <c r="B15" s="2" t="s">
        <v>46</v>
      </c>
      <c r="C15" s="89" t="s">
        <v>178</v>
      </c>
      <c r="D15" s="209"/>
      <c r="E15" s="91" t="s">
        <v>44</v>
      </c>
      <c r="F15" s="3"/>
      <c r="I15" s="143"/>
    </row>
    <row r="16" spans="1:16" x14ac:dyDescent="0.35">
      <c r="A16" s="266" t="s">
        <v>47</v>
      </c>
      <c r="B16" s="266" t="s">
        <v>135</v>
      </c>
      <c r="C16" s="2" t="s">
        <v>191</v>
      </c>
      <c r="D16" s="95">
        <f>D$2*D14</f>
        <v>0</v>
      </c>
      <c r="E16" s="2" t="s">
        <v>48</v>
      </c>
      <c r="F16" s="3" t="s">
        <v>49</v>
      </c>
    </row>
    <row r="17" spans="1:6" x14ac:dyDescent="0.35">
      <c r="A17" s="266"/>
      <c r="B17" s="266"/>
      <c r="C17" s="2" t="s">
        <v>179</v>
      </c>
      <c r="D17" s="7">
        <f>D$2*D15</f>
        <v>0</v>
      </c>
      <c r="E17" s="2" t="s">
        <v>48</v>
      </c>
      <c r="F17" s="3" t="s">
        <v>49</v>
      </c>
    </row>
    <row r="18" spans="1:6" x14ac:dyDescent="0.35">
      <c r="A18" s="12"/>
      <c r="B18" s="12"/>
      <c r="C18" s="13"/>
      <c r="D18" s="14"/>
      <c r="E18" s="14"/>
      <c r="F18" s="14"/>
    </row>
    <row r="19" spans="1:6" x14ac:dyDescent="0.35">
      <c r="A19" s="1" t="s">
        <v>50</v>
      </c>
    </row>
    <row r="20" spans="1:6" x14ac:dyDescent="0.35">
      <c r="A20" s="17" t="s">
        <v>56</v>
      </c>
      <c r="B20" s="17"/>
      <c r="C20" s="2" t="s">
        <v>140</v>
      </c>
      <c r="D20" s="98">
        <f>'Hydrologischer Nachweis'!D22</f>
        <v>0</v>
      </c>
      <c r="E20" s="10" t="s">
        <v>10</v>
      </c>
      <c r="F20" s="3"/>
    </row>
    <row r="21" spans="1:6" x14ac:dyDescent="0.35">
      <c r="A21" s="131" t="s">
        <v>294</v>
      </c>
      <c r="B21" s="71" t="s">
        <v>287</v>
      </c>
      <c r="C21" s="96" t="s">
        <v>284</v>
      </c>
      <c r="D21" s="139">
        <f>'Hydrologischer Nachweis'!D21</f>
        <v>0</v>
      </c>
      <c r="E21" s="97" t="s">
        <v>57</v>
      </c>
      <c r="F21" s="3"/>
    </row>
    <row r="22" spans="1:6" x14ac:dyDescent="0.35">
      <c r="A22" s="131" t="s">
        <v>328</v>
      </c>
      <c r="B22" s="71" t="s">
        <v>288</v>
      </c>
      <c r="C22" s="96" t="s">
        <v>285</v>
      </c>
      <c r="D22" s="47">
        <f>'Hydrologischer Nachweis'!D22</f>
        <v>0</v>
      </c>
      <c r="E22" s="97" t="s">
        <v>57</v>
      </c>
      <c r="F22" s="3"/>
    </row>
    <row r="23" spans="1:6" ht="15" thickBot="1" x14ac:dyDescent="0.4">
      <c r="A23" s="70" t="s">
        <v>283</v>
      </c>
      <c r="B23" s="71"/>
      <c r="C23" s="96" t="s">
        <v>141</v>
      </c>
      <c r="D23" s="140">
        <f>SUM(D21:D22)</f>
        <v>0</v>
      </c>
      <c r="E23" s="10" t="s">
        <v>57</v>
      </c>
      <c r="F23" s="3"/>
    </row>
    <row r="24" spans="1:6" ht="15" thickBot="1" x14ac:dyDescent="0.4">
      <c r="A24" s="267" t="s">
        <v>315</v>
      </c>
      <c r="B24" s="15" t="s">
        <v>321</v>
      </c>
      <c r="C24" s="89" t="s">
        <v>317</v>
      </c>
      <c r="D24" s="205"/>
      <c r="E24" s="91" t="s">
        <v>44</v>
      </c>
      <c r="F24" s="3"/>
    </row>
    <row r="25" spans="1:6" ht="15" thickBot="1" x14ac:dyDescent="0.4">
      <c r="A25" s="267"/>
      <c r="B25" s="15" t="s">
        <v>322</v>
      </c>
      <c r="C25" s="89" t="s">
        <v>318</v>
      </c>
      <c r="D25" s="199"/>
      <c r="E25" s="91" t="s">
        <v>44</v>
      </c>
      <c r="F25" s="3"/>
    </row>
    <row r="26" spans="1:6" ht="15" thickBot="1" x14ac:dyDescent="0.4">
      <c r="A26" s="267" t="s">
        <v>316</v>
      </c>
      <c r="B26" s="15" t="s">
        <v>51</v>
      </c>
      <c r="C26" s="89" t="s">
        <v>319</v>
      </c>
      <c r="D26" s="205"/>
      <c r="E26" s="91" t="s">
        <v>44</v>
      </c>
      <c r="F26" s="3"/>
    </row>
    <row r="27" spans="1:6" ht="15" thickBot="1" x14ac:dyDescent="0.4">
      <c r="A27" s="267"/>
      <c r="B27" s="15" t="s">
        <v>51</v>
      </c>
      <c r="C27" s="89" t="s">
        <v>320</v>
      </c>
      <c r="D27" s="199"/>
      <c r="E27" s="91" t="s">
        <v>44</v>
      </c>
      <c r="F27" s="3"/>
    </row>
    <row r="28" spans="1:6" ht="15" thickBot="1" x14ac:dyDescent="0.4">
      <c r="A28" s="39" t="s">
        <v>273</v>
      </c>
      <c r="B28" s="39" t="s">
        <v>275</v>
      </c>
      <c r="C28" s="102" t="s">
        <v>276</v>
      </c>
      <c r="D28" s="212"/>
      <c r="E28" s="103" t="s">
        <v>274</v>
      </c>
      <c r="F28" s="3"/>
    </row>
    <row r="29" spans="1:6" ht="15" thickBot="1" x14ac:dyDescent="0.4">
      <c r="A29" s="2" t="s">
        <v>52</v>
      </c>
      <c r="B29" s="2" t="s">
        <v>173</v>
      </c>
      <c r="C29" s="89" t="s">
        <v>136</v>
      </c>
      <c r="D29" s="199"/>
      <c r="E29" s="91" t="s">
        <v>10</v>
      </c>
      <c r="F29" s="3"/>
    </row>
    <row r="30" spans="1:6" x14ac:dyDescent="0.35">
      <c r="A30" s="2" t="s">
        <v>53</v>
      </c>
      <c r="B30" s="2" t="s">
        <v>54</v>
      </c>
      <c r="C30" s="89" t="s">
        <v>137</v>
      </c>
      <c r="D30" s="95">
        <v>2.8</v>
      </c>
      <c r="E30" s="91" t="s">
        <v>33</v>
      </c>
      <c r="F30" s="3"/>
    </row>
    <row r="31" spans="1:6" x14ac:dyDescent="0.35">
      <c r="A31" s="16" t="s">
        <v>55</v>
      </c>
      <c r="B31" s="2"/>
      <c r="C31" s="16" t="s">
        <v>201</v>
      </c>
      <c r="D31" s="100">
        <f>D30*((10^-D29)/(10^-6.3)+1)</f>
        <v>5586737.2819128642</v>
      </c>
      <c r="E31" s="2" t="s">
        <v>33</v>
      </c>
      <c r="F31" s="3" t="s">
        <v>36</v>
      </c>
    </row>
    <row r="32" spans="1:6" ht="15" thickBot="1" x14ac:dyDescent="0.4">
      <c r="A32" s="124" t="s">
        <v>277</v>
      </c>
      <c r="B32" s="125" t="s">
        <v>275</v>
      </c>
      <c r="C32" s="128" t="s">
        <v>282</v>
      </c>
      <c r="D32" s="129">
        <f>IF(D3=20,9.1,(14.60307-D3*(0.4021469-D3*(0.00768703-0.0000692575*D3)))*EXP(-D$28/7991.0185))</f>
        <v>14.603070000000001</v>
      </c>
      <c r="E32" s="128" t="s">
        <v>44</v>
      </c>
      <c r="F32" s="127"/>
    </row>
    <row r="33" spans="1:6" s="65" customFormat="1" ht="15" customHeight="1" thickBot="1" x14ac:dyDescent="0.4">
      <c r="A33" s="292" t="s">
        <v>291</v>
      </c>
      <c r="B33" s="293"/>
      <c r="C33" s="121" t="s">
        <v>289</v>
      </c>
      <c r="D33" s="208"/>
      <c r="E33" s="122" t="s">
        <v>256</v>
      </c>
      <c r="F33" s="64" t="s">
        <v>153</v>
      </c>
    </row>
    <row r="34" spans="1:6" s="65" customFormat="1" ht="15" thickBot="1" x14ac:dyDescent="0.4">
      <c r="A34" s="292" t="s">
        <v>293</v>
      </c>
      <c r="B34" s="293"/>
      <c r="C34" s="121" t="s">
        <v>290</v>
      </c>
      <c r="D34" s="208"/>
      <c r="E34" s="122" t="s">
        <v>256</v>
      </c>
      <c r="F34" s="64" t="s">
        <v>153</v>
      </c>
    </row>
    <row r="35" spans="1:6" x14ac:dyDescent="0.35">
      <c r="A35" s="59"/>
      <c r="B35" s="60"/>
      <c r="C35" s="60"/>
      <c r="D35" s="61"/>
      <c r="E35" s="62"/>
      <c r="F35" s="62"/>
    </row>
    <row r="36" spans="1:6" ht="15" thickBot="1" x14ac:dyDescent="0.4">
      <c r="A36" s="63" t="s">
        <v>327</v>
      </c>
    </row>
    <row r="37" spans="1:6" ht="15" thickBot="1" x14ac:dyDescent="0.4">
      <c r="A37" s="39" t="s">
        <v>253</v>
      </c>
      <c r="B37" s="39" t="s">
        <v>226</v>
      </c>
      <c r="C37" s="101" t="s">
        <v>255</v>
      </c>
      <c r="D37" s="206"/>
      <c r="E37" s="103" t="s">
        <v>13</v>
      </c>
      <c r="F37" s="40"/>
    </row>
    <row r="38" spans="1:6" x14ac:dyDescent="0.35">
      <c r="A38" s="59"/>
      <c r="B38" s="60"/>
      <c r="C38" s="60"/>
      <c r="D38" s="61"/>
      <c r="E38" s="62"/>
      <c r="F38" s="62"/>
    </row>
    <row r="39" spans="1:6" ht="15" thickBot="1" x14ac:dyDescent="0.4">
      <c r="A39" s="63" t="s">
        <v>295</v>
      </c>
    </row>
    <row r="40" spans="1:6" ht="15" thickBot="1" x14ac:dyDescent="0.4">
      <c r="A40" s="39" t="s">
        <v>253</v>
      </c>
      <c r="B40" s="39"/>
      <c r="C40" s="101" t="s">
        <v>296</v>
      </c>
      <c r="D40" s="213"/>
      <c r="E40" s="103" t="s">
        <v>13</v>
      </c>
      <c r="F40" s="40"/>
    </row>
    <row r="41" spans="1:6" ht="15" thickBot="1" x14ac:dyDescent="0.4">
      <c r="A41" s="304" t="s">
        <v>257</v>
      </c>
      <c r="B41" s="291" t="s">
        <v>297</v>
      </c>
      <c r="C41" s="102" t="s">
        <v>352</v>
      </c>
      <c r="D41" s="206"/>
      <c r="E41" s="103" t="s">
        <v>256</v>
      </c>
      <c r="F41" s="40"/>
    </row>
    <row r="42" spans="1:6" ht="15" thickBot="1" x14ac:dyDescent="0.4">
      <c r="A42" s="304"/>
      <c r="B42" s="291"/>
      <c r="C42" s="102" t="s">
        <v>353</v>
      </c>
      <c r="D42" s="206"/>
      <c r="E42" s="103" t="s">
        <v>256</v>
      </c>
      <c r="F42" s="40"/>
    </row>
    <row r="44" spans="1:6" ht="15" thickBot="1" x14ac:dyDescent="0.4">
      <c r="A44" s="1" t="s">
        <v>382</v>
      </c>
    </row>
    <row r="45" spans="1:6" ht="15" thickBot="1" x14ac:dyDescent="0.4">
      <c r="A45" s="144" t="s">
        <v>264</v>
      </c>
      <c r="B45" s="144" t="s">
        <v>265</v>
      </c>
      <c r="C45" s="89" t="s">
        <v>140</v>
      </c>
      <c r="D45" s="205"/>
      <c r="E45" s="97" t="s">
        <v>10</v>
      </c>
      <c r="F45" s="3"/>
    </row>
    <row r="46" spans="1:6" ht="15" thickBot="1" x14ac:dyDescent="0.4">
      <c r="A46" s="144" t="s">
        <v>329</v>
      </c>
      <c r="B46" s="145"/>
      <c r="C46" s="96" t="s">
        <v>330</v>
      </c>
      <c r="D46" s="214"/>
      <c r="E46" s="97" t="s">
        <v>57</v>
      </c>
      <c r="F46" s="3"/>
    </row>
    <row r="47" spans="1:6" ht="15" thickBot="1" x14ac:dyDescent="0.4">
      <c r="A47" s="39" t="s">
        <v>253</v>
      </c>
      <c r="B47" s="39" t="s">
        <v>226</v>
      </c>
      <c r="C47" s="101" t="s">
        <v>331</v>
      </c>
      <c r="D47" s="215"/>
      <c r="E47" s="103" t="s">
        <v>13</v>
      </c>
      <c r="F47" s="40"/>
    </row>
    <row r="48" spans="1:6" ht="15" thickBot="1" x14ac:dyDescent="0.4">
      <c r="A48" s="267" t="s">
        <v>332</v>
      </c>
      <c r="B48" s="15" t="s">
        <v>321</v>
      </c>
      <c r="C48" s="89" t="s">
        <v>333</v>
      </c>
      <c r="D48" s="213"/>
      <c r="E48" s="91" t="s">
        <v>44</v>
      </c>
      <c r="F48" s="3"/>
    </row>
    <row r="49" spans="1:16" ht="15" thickBot="1" x14ac:dyDescent="0.4">
      <c r="A49" s="267"/>
      <c r="B49" s="15" t="s">
        <v>322</v>
      </c>
      <c r="C49" s="89" t="s">
        <v>334</v>
      </c>
      <c r="D49" s="199"/>
      <c r="E49" s="91" t="s">
        <v>44</v>
      </c>
      <c r="F49" s="3"/>
    </row>
    <row r="50" spans="1:16" x14ac:dyDescent="0.35">
      <c r="A50" s="261" t="s">
        <v>145</v>
      </c>
      <c r="B50" s="262"/>
      <c r="C50" s="89" t="s">
        <v>192</v>
      </c>
      <c r="D50" s="98">
        <v>0</v>
      </c>
      <c r="E50" s="98">
        <v>0.5</v>
      </c>
      <c r="F50" s="98">
        <v>1</v>
      </c>
      <c r="G50" s="98">
        <v>2</v>
      </c>
      <c r="H50" s="98">
        <v>4</v>
      </c>
      <c r="I50" s="98">
        <v>8</v>
      </c>
      <c r="J50" s="98">
        <v>16</v>
      </c>
      <c r="K50" s="98">
        <v>32</v>
      </c>
      <c r="L50" s="98">
        <v>64</v>
      </c>
      <c r="M50" s="98">
        <v>128</v>
      </c>
      <c r="N50" s="91" t="s">
        <v>59</v>
      </c>
      <c r="O50" s="3"/>
    </row>
    <row r="51" spans="1:16" x14ac:dyDescent="0.35">
      <c r="A51" s="144" t="s">
        <v>263</v>
      </c>
      <c r="B51" s="10" t="s">
        <v>337</v>
      </c>
      <c r="C51" s="89" t="s">
        <v>335</v>
      </c>
      <c r="D51" s="7">
        <f t="shared" ref="D51:M51" si="0">D50*$D46*$D45</f>
        <v>0</v>
      </c>
      <c r="E51" s="7">
        <f t="shared" si="0"/>
        <v>0</v>
      </c>
      <c r="F51" s="7">
        <f t="shared" si="0"/>
        <v>0</v>
      </c>
      <c r="G51" s="7">
        <f t="shared" si="0"/>
        <v>0</v>
      </c>
      <c r="H51" s="7">
        <f t="shared" si="0"/>
        <v>0</v>
      </c>
      <c r="I51" s="7">
        <f t="shared" si="0"/>
        <v>0</v>
      </c>
      <c r="J51" s="7">
        <f t="shared" si="0"/>
        <v>0</v>
      </c>
      <c r="K51" s="7">
        <f t="shared" si="0"/>
        <v>0</v>
      </c>
      <c r="L51" s="7">
        <f t="shared" si="0"/>
        <v>0</v>
      </c>
      <c r="M51" s="7">
        <f t="shared" si="0"/>
        <v>0</v>
      </c>
      <c r="N51" s="104" t="s">
        <v>13</v>
      </c>
      <c r="O51" s="3"/>
    </row>
    <row r="52" spans="1:16" x14ac:dyDescent="0.35">
      <c r="A52" s="17" t="s">
        <v>263</v>
      </c>
      <c r="B52" s="18" t="s">
        <v>336</v>
      </c>
      <c r="C52" s="89" t="s">
        <v>174</v>
      </c>
      <c r="D52" s="7">
        <f>MIN(D51,$D47)</f>
        <v>0</v>
      </c>
      <c r="E52" s="7">
        <f t="shared" ref="E52:M52" si="1">MIN(E51,$D47)</f>
        <v>0</v>
      </c>
      <c r="F52" s="7">
        <f t="shared" si="1"/>
        <v>0</v>
      </c>
      <c r="G52" s="7">
        <f t="shared" si="1"/>
        <v>0</v>
      </c>
      <c r="H52" s="7">
        <f t="shared" si="1"/>
        <v>0</v>
      </c>
      <c r="I52" s="7">
        <f t="shared" si="1"/>
        <v>0</v>
      </c>
      <c r="J52" s="7">
        <f t="shared" si="1"/>
        <v>0</v>
      </c>
      <c r="K52" s="7">
        <f t="shared" si="1"/>
        <v>0</v>
      </c>
      <c r="L52" s="7">
        <f t="shared" si="1"/>
        <v>0</v>
      </c>
      <c r="M52" s="7">
        <f t="shared" si="1"/>
        <v>0</v>
      </c>
      <c r="N52" s="104" t="s">
        <v>13</v>
      </c>
      <c r="O52" s="3"/>
    </row>
    <row r="53" spans="1:16" x14ac:dyDescent="0.35">
      <c r="A53" s="266" t="s">
        <v>65</v>
      </c>
      <c r="B53" s="267" t="s">
        <v>408</v>
      </c>
      <c r="C53" s="89" t="s">
        <v>180</v>
      </c>
      <c r="D53" s="7">
        <f t="shared" ref="D53:M53" si="2">D$52*$D48</f>
        <v>0</v>
      </c>
      <c r="E53" s="7">
        <f t="shared" si="2"/>
        <v>0</v>
      </c>
      <c r="F53" s="7">
        <f t="shared" si="2"/>
        <v>0</v>
      </c>
      <c r="G53" s="7">
        <f t="shared" si="2"/>
        <v>0</v>
      </c>
      <c r="H53" s="7">
        <f t="shared" si="2"/>
        <v>0</v>
      </c>
      <c r="I53" s="7">
        <f t="shared" si="2"/>
        <v>0</v>
      </c>
      <c r="J53" s="7">
        <f t="shared" si="2"/>
        <v>0</v>
      </c>
      <c r="K53" s="7">
        <f t="shared" si="2"/>
        <v>0</v>
      </c>
      <c r="L53" s="7">
        <f t="shared" si="2"/>
        <v>0</v>
      </c>
      <c r="M53" s="7">
        <f t="shared" si="2"/>
        <v>0</v>
      </c>
      <c r="N53" s="91" t="s">
        <v>48</v>
      </c>
      <c r="O53" s="3"/>
      <c r="P53" t="s">
        <v>338</v>
      </c>
    </row>
    <row r="54" spans="1:16" x14ac:dyDescent="0.35">
      <c r="A54" s="266"/>
      <c r="B54" s="267"/>
      <c r="C54" s="89" t="s">
        <v>181</v>
      </c>
      <c r="D54" s="7">
        <f t="shared" ref="D54:M54" si="3">D$52*$D49</f>
        <v>0</v>
      </c>
      <c r="E54" s="7">
        <f t="shared" si="3"/>
        <v>0</v>
      </c>
      <c r="F54" s="7">
        <f t="shared" si="3"/>
        <v>0</v>
      </c>
      <c r="G54" s="7">
        <f t="shared" si="3"/>
        <v>0</v>
      </c>
      <c r="H54" s="7">
        <f t="shared" si="3"/>
        <v>0</v>
      </c>
      <c r="I54" s="7">
        <f t="shared" si="3"/>
        <v>0</v>
      </c>
      <c r="J54" s="7">
        <f t="shared" si="3"/>
        <v>0</v>
      </c>
      <c r="K54" s="7">
        <f t="shared" si="3"/>
        <v>0</v>
      </c>
      <c r="L54" s="7">
        <f t="shared" si="3"/>
        <v>0</v>
      </c>
      <c r="M54" s="7">
        <f t="shared" si="3"/>
        <v>0</v>
      </c>
      <c r="N54" s="91" t="s">
        <v>48</v>
      </c>
      <c r="O54" s="3"/>
    </row>
    <row r="56" spans="1:16" x14ac:dyDescent="0.35">
      <c r="A56" s="1" t="s">
        <v>69</v>
      </c>
    </row>
    <row r="57" spans="1:16" x14ac:dyDescent="0.35">
      <c r="A57" s="256" t="s">
        <v>241</v>
      </c>
      <c r="B57" s="257"/>
      <c r="C57" s="43" t="s">
        <v>237</v>
      </c>
      <c r="D57" s="137">
        <f>Gewässerhydraulik!$I$23</f>
        <v>0</v>
      </c>
    </row>
    <row r="58" spans="1:16" x14ac:dyDescent="0.35">
      <c r="A58" s="258"/>
      <c r="B58" s="259"/>
      <c r="C58" s="43" t="s">
        <v>238</v>
      </c>
      <c r="D58" s="137">
        <f>Gewässerhydraulik!$I$26</f>
        <v>0</v>
      </c>
    </row>
    <row r="59" spans="1:16" x14ac:dyDescent="0.35">
      <c r="A59" s="258"/>
      <c r="B59" s="259"/>
      <c r="C59" s="43" t="s">
        <v>245</v>
      </c>
      <c r="D59" s="137">
        <f>Gewässerhydraulik!$I$37</f>
        <v>0</v>
      </c>
    </row>
    <row r="60" spans="1:16" ht="14.5" customHeight="1" x14ac:dyDescent="0.35">
      <c r="A60" s="289"/>
      <c r="B60" s="290"/>
      <c r="C60" s="43" t="s">
        <v>246</v>
      </c>
      <c r="D60" s="137">
        <f>Gewässerhydraulik!$I$40</f>
        <v>0</v>
      </c>
    </row>
    <row r="61" spans="1:16" ht="15" thickBot="1" x14ac:dyDescent="0.4">
      <c r="A61" s="261" t="s">
        <v>145</v>
      </c>
      <c r="B61" s="262"/>
      <c r="C61" s="2" t="s">
        <v>146</v>
      </c>
      <c r="D61" s="98">
        <v>0</v>
      </c>
      <c r="E61" s="98">
        <v>0.5</v>
      </c>
      <c r="F61" s="98">
        <v>1</v>
      </c>
      <c r="G61" s="98">
        <v>2</v>
      </c>
      <c r="H61" s="98">
        <v>4</v>
      </c>
      <c r="I61" s="98">
        <v>8</v>
      </c>
      <c r="J61" s="98">
        <v>16</v>
      </c>
      <c r="K61" s="98">
        <v>32</v>
      </c>
      <c r="L61" s="98">
        <v>64</v>
      </c>
      <c r="M61" s="98">
        <v>128</v>
      </c>
      <c r="N61" s="2" t="s">
        <v>59</v>
      </c>
      <c r="O61" s="3"/>
    </row>
    <row r="62" spans="1:16" ht="15" customHeight="1" thickBot="1" x14ac:dyDescent="0.4">
      <c r="A62" s="301" t="s">
        <v>258</v>
      </c>
      <c r="B62" s="57" t="s">
        <v>259</v>
      </c>
      <c r="C62" s="89" t="s">
        <v>260</v>
      </c>
      <c r="D62" s="309">
        <v>1</v>
      </c>
      <c r="E62" s="309">
        <v>1</v>
      </c>
      <c r="F62" s="310">
        <v>1</v>
      </c>
      <c r="G62" s="310">
        <v>1</v>
      </c>
      <c r="H62" s="310">
        <v>1</v>
      </c>
      <c r="I62" s="310">
        <v>1</v>
      </c>
      <c r="J62" s="310">
        <v>1</v>
      </c>
      <c r="K62" s="310">
        <v>1</v>
      </c>
      <c r="L62" s="310">
        <v>1</v>
      </c>
      <c r="M62" s="311">
        <v>1</v>
      </c>
      <c r="N62" s="91" t="s">
        <v>10</v>
      </c>
      <c r="O62" s="3"/>
    </row>
    <row r="63" spans="1:16" ht="15" thickBot="1" x14ac:dyDescent="0.4">
      <c r="A63" s="308"/>
      <c r="B63" s="57" t="s">
        <v>259</v>
      </c>
      <c r="C63" s="89" t="s">
        <v>261</v>
      </c>
      <c r="D63" s="312">
        <v>1</v>
      </c>
      <c r="E63" s="312">
        <v>1</v>
      </c>
      <c r="F63" s="313">
        <v>1</v>
      </c>
      <c r="G63" s="313">
        <v>1</v>
      </c>
      <c r="H63" s="313">
        <v>1</v>
      </c>
      <c r="I63" s="313">
        <v>1</v>
      </c>
      <c r="J63" s="313">
        <v>1</v>
      </c>
      <c r="K63" s="313">
        <v>1</v>
      </c>
      <c r="L63" s="313">
        <v>1</v>
      </c>
      <c r="M63" s="314">
        <v>1</v>
      </c>
      <c r="N63" s="91" t="s">
        <v>10</v>
      </c>
      <c r="O63" s="3"/>
    </row>
    <row r="64" spans="1:16" ht="29" x14ac:dyDescent="0.35">
      <c r="A64" s="31" t="s">
        <v>309</v>
      </c>
      <c r="B64" s="10" t="s">
        <v>302</v>
      </c>
      <c r="C64" s="10" t="s">
        <v>298</v>
      </c>
      <c r="D64" s="105">
        <f>D61*$D21*$D20</f>
        <v>0</v>
      </c>
      <c r="E64" s="105">
        <f>E61*$D21*$D20</f>
        <v>0</v>
      </c>
      <c r="F64" s="105">
        <f>F61*$D21*$D20</f>
        <v>0</v>
      </c>
      <c r="G64" s="105">
        <f>G61*$D21*$D20</f>
        <v>0</v>
      </c>
      <c r="H64" s="105">
        <f>H61*$D21*$D20</f>
        <v>0</v>
      </c>
      <c r="I64" s="105">
        <f>I61*$D21*$D20</f>
        <v>0</v>
      </c>
      <c r="J64" s="105">
        <f>J61*$D21*$D20</f>
        <v>0</v>
      </c>
      <c r="K64" s="105">
        <f>K61*$D21*$D20</f>
        <v>0</v>
      </c>
      <c r="L64" s="105">
        <f>L61*$D21*$D20</f>
        <v>0</v>
      </c>
      <c r="M64" s="105">
        <f>M61*$D21*$D20</f>
        <v>0</v>
      </c>
      <c r="N64" s="10" t="s">
        <v>13</v>
      </c>
      <c r="O64" s="3"/>
    </row>
    <row r="65" spans="1:15" ht="29" x14ac:dyDescent="0.35">
      <c r="A65" s="31" t="s">
        <v>311</v>
      </c>
      <c r="B65" s="21" t="s">
        <v>304</v>
      </c>
      <c r="C65" s="10" t="s">
        <v>306</v>
      </c>
      <c r="D65" s="35">
        <f>IF(ISBLANK($D37),D64,MIN(D64,$D37))</f>
        <v>0</v>
      </c>
      <c r="E65" s="35">
        <f>IF(ISBLANK($D37),E64,MIN(E64,$D37))</f>
        <v>0</v>
      </c>
      <c r="F65" s="35">
        <f>IF(ISBLANK($D37),F64,MIN(F64,$D37))</f>
        <v>0</v>
      </c>
      <c r="G65" s="35">
        <f>IF(ISBLANK($D37),G64,MIN(G64,$D37))</f>
        <v>0</v>
      </c>
      <c r="H65" s="35">
        <f>IF(ISBLANK($D37),H64,MIN(H64,$D37))</f>
        <v>0</v>
      </c>
      <c r="I65" s="35">
        <f>IF(ISBLANK($D37),I64,MIN(I64,$D37))</f>
        <v>0</v>
      </c>
      <c r="J65" s="35">
        <f>IF(ISBLANK($D37),J64,MIN(J64,$D37))</f>
        <v>0</v>
      </c>
      <c r="K65" s="35">
        <f>IF(ISBLANK($D37),K64,MIN(K64,$D37))</f>
        <v>0</v>
      </c>
      <c r="L65" s="35">
        <f>IF(ISBLANK($D37),L64,MIN(L64,$D37))</f>
        <v>0</v>
      </c>
      <c r="M65" s="35">
        <f>IF(ISBLANK($D37),M64,MIN(M64,$D37))</f>
        <v>0</v>
      </c>
      <c r="N65" s="10" t="s">
        <v>13</v>
      </c>
      <c r="O65" s="11"/>
    </row>
    <row r="66" spans="1:15" ht="14.5" customHeight="1" x14ac:dyDescent="0.35">
      <c r="A66" s="266" t="s">
        <v>301</v>
      </c>
      <c r="B66" s="267" t="s">
        <v>313</v>
      </c>
      <c r="C66" s="2" t="s">
        <v>144</v>
      </c>
      <c r="D66" s="22">
        <f>$D24*D62*D$65</f>
        <v>0</v>
      </c>
      <c r="E66" s="22">
        <f>$D24*E62*E$65</f>
        <v>0</v>
      </c>
      <c r="F66" s="22">
        <f>$D24*F62*F$65</f>
        <v>0</v>
      </c>
      <c r="G66" s="22">
        <f>$D24*G62*G$65</f>
        <v>0</v>
      </c>
      <c r="H66" s="22">
        <f>$D24*H62*H$65</f>
        <v>0</v>
      </c>
      <c r="I66" s="22">
        <f>$D24*I62*I$65</f>
        <v>0</v>
      </c>
      <c r="J66" s="22">
        <f>$D24*J62*J$65</f>
        <v>0</v>
      </c>
      <c r="K66" s="22">
        <f>$D24*K62*K$65</f>
        <v>0</v>
      </c>
      <c r="L66" s="22">
        <f>$D24*L62*L$65</f>
        <v>0</v>
      </c>
      <c r="M66" s="22">
        <f>$D24*M62*M$65</f>
        <v>0</v>
      </c>
      <c r="N66" s="2" t="s">
        <v>48</v>
      </c>
      <c r="O66" s="3"/>
    </row>
    <row r="67" spans="1:15" ht="14.5" customHeight="1" x14ac:dyDescent="0.35">
      <c r="A67" s="266"/>
      <c r="B67" s="267"/>
      <c r="C67" s="2" t="s">
        <v>182</v>
      </c>
      <c r="D67" s="22">
        <f>$D25*D63*D$65</f>
        <v>0</v>
      </c>
      <c r="E67" s="22">
        <f>$D25*E63*E$65</f>
        <v>0</v>
      </c>
      <c r="F67" s="22">
        <f>$D25*F63*F$65</f>
        <v>0</v>
      </c>
      <c r="G67" s="22">
        <f>$D25*G63*G$65</f>
        <v>0</v>
      </c>
      <c r="H67" s="22">
        <f>$D25*H63*H$65</f>
        <v>0</v>
      </c>
      <c r="I67" s="22">
        <f>$D25*I63*I$65</f>
        <v>0</v>
      </c>
      <c r="J67" s="22">
        <f>$D25*J63*J$65</f>
        <v>0</v>
      </c>
      <c r="K67" s="22">
        <f>$D25*K63*K$65</f>
        <v>0</v>
      </c>
      <c r="L67" s="22">
        <f>$D25*L63*L$65</f>
        <v>0</v>
      </c>
      <c r="M67" s="22">
        <f>$D25*M63*M$65</f>
        <v>0</v>
      </c>
      <c r="N67" s="2" t="s">
        <v>48</v>
      </c>
      <c r="O67" s="3"/>
    </row>
    <row r="68" spans="1:15" ht="29" x14ac:dyDescent="0.35">
      <c r="A68" s="31" t="s">
        <v>310</v>
      </c>
      <c r="B68" s="10" t="s">
        <v>303</v>
      </c>
      <c r="C68" s="10" t="s">
        <v>299</v>
      </c>
      <c r="D68" s="105">
        <f>D61*$D22*$D20</f>
        <v>0</v>
      </c>
      <c r="E68" s="105">
        <f>E61*$D22*$D20</f>
        <v>0</v>
      </c>
      <c r="F68" s="105">
        <f>F61*$D22*$D20</f>
        <v>0</v>
      </c>
      <c r="G68" s="105">
        <f>G61*$D22*$D20</f>
        <v>0</v>
      </c>
      <c r="H68" s="105">
        <f>H61*$D22*$D20</f>
        <v>0</v>
      </c>
      <c r="I68" s="105">
        <f>I61*$D22*$D20</f>
        <v>0</v>
      </c>
      <c r="J68" s="105">
        <f>J61*$D22*$D20</f>
        <v>0</v>
      </c>
      <c r="K68" s="105">
        <f>K61*$D22*$D20</f>
        <v>0</v>
      </c>
      <c r="L68" s="105">
        <f>L61*$D22*$D20</f>
        <v>0</v>
      </c>
      <c r="M68" s="105">
        <f>M61*$D22*$D20</f>
        <v>0</v>
      </c>
      <c r="N68" s="10" t="s">
        <v>13</v>
      </c>
      <c r="O68" s="3"/>
    </row>
    <row r="69" spans="1:15" ht="29" x14ac:dyDescent="0.35">
      <c r="A69" s="31" t="s">
        <v>312</v>
      </c>
      <c r="B69" s="71" t="s">
        <v>305</v>
      </c>
      <c r="C69" s="10" t="s">
        <v>307</v>
      </c>
      <c r="D69" s="35">
        <f>D40</f>
        <v>0</v>
      </c>
      <c r="E69" s="35">
        <f>IF(ISBLANK($D40),E68,MIN(E68,$D40))</f>
        <v>0</v>
      </c>
      <c r="F69" s="35">
        <f>IF(ISBLANK($D40),F68,MIN(F68,$D40))</f>
        <v>0</v>
      </c>
      <c r="G69" s="35">
        <f>IF(ISBLANK($D40),G68,MIN(G68,$D40))</f>
        <v>0</v>
      </c>
      <c r="H69" s="35">
        <f>IF(ISBLANK($D40),H68,MIN(H68,$D40))</f>
        <v>0</v>
      </c>
      <c r="I69" s="35">
        <f>IF(ISBLANK($D40),I68,MIN(I68,$D40))</f>
        <v>0</v>
      </c>
      <c r="J69" s="35">
        <f>IF(ISBLANK($D40),J68,MIN(J68,$D40))</f>
        <v>0</v>
      </c>
      <c r="K69" s="35">
        <f>IF(ISBLANK($D40),K68,MIN(K68,$D40))</f>
        <v>0</v>
      </c>
      <c r="L69" s="35">
        <f>IF(ISBLANK($D40),L68,MIN(L68,$D40))</f>
        <v>0</v>
      </c>
      <c r="M69" s="35">
        <f>IF(ISBLANK($D40),M68,MIN(M68,$D40))</f>
        <v>0</v>
      </c>
      <c r="N69" s="10" t="s">
        <v>13</v>
      </c>
      <c r="O69" s="11"/>
    </row>
    <row r="70" spans="1:15" ht="14.5" customHeight="1" x14ac:dyDescent="0.35">
      <c r="A70" s="266" t="s">
        <v>300</v>
      </c>
      <c r="B70" s="267" t="s">
        <v>354</v>
      </c>
      <c r="C70" s="2" t="s">
        <v>144</v>
      </c>
      <c r="D70" s="22">
        <f>$D26*D62*D$69*(1-$D41/100)</f>
        <v>0</v>
      </c>
      <c r="E70" s="22">
        <f>$D26*E62*E$69*(1-$D41/100)</f>
        <v>0</v>
      </c>
      <c r="F70" s="22">
        <f>$D26*F62*F$69*(1-$D41/100)</f>
        <v>0</v>
      </c>
      <c r="G70" s="22">
        <f>$D26*G62*G$69*(1-$D41/100)</f>
        <v>0</v>
      </c>
      <c r="H70" s="22">
        <f>$D26*H62*H$69*(1-$D41/100)</f>
        <v>0</v>
      </c>
      <c r="I70" s="22">
        <f>$D26*I62*I$69*(1-$D41/100)</f>
        <v>0</v>
      </c>
      <c r="J70" s="22">
        <f>$D26*J62*J$69*(1-$D41/100)</f>
        <v>0</v>
      </c>
      <c r="K70" s="22">
        <f>$D26*K62*K$69*(1-$D41/100)</f>
        <v>0</v>
      </c>
      <c r="L70" s="22">
        <f>$D26*L62*L$69*(1-$D41/100)</f>
        <v>0</v>
      </c>
      <c r="M70" s="22">
        <f>$D26*M62*M$69*(1-$D41/100)</f>
        <v>0</v>
      </c>
      <c r="N70" s="2" t="s">
        <v>48</v>
      </c>
      <c r="O70" s="3"/>
    </row>
    <row r="71" spans="1:15" ht="14.5" customHeight="1" x14ac:dyDescent="0.35">
      <c r="A71" s="266"/>
      <c r="B71" s="267"/>
      <c r="C71" s="2" t="s">
        <v>182</v>
      </c>
      <c r="D71" s="22">
        <f>$D27*D63*D$69*(1-$D42/100)</f>
        <v>0</v>
      </c>
      <c r="E71" s="22">
        <f>$D27*E63*E$69*(1-$D42/100)</f>
        <v>0</v>
      </c>
      <c r="F71" s="22">
        <f>$D27*F63*F$69*(1-$D42/100)</f>
        <v>0</v>
      </c>
      <c r="G71" s="22">
        <f>$D27*G63*G$69*(1-$D42/100)</f>
        <v>0</v>
      </c>
      <c r="H71" s="22">
        <f>$D27*H63*H$69*(1-$D42/100)</f>
        <v>0</v>
      </c>
      <c r="I71" s="22">
        <f>$D27*I63*I$69*(1-$D42/100)</f>
        <v>0</v>
      </c>
      <c r="J71" s="22">
        <f>$D27*J63*J$69*(1-$D42/100)</f>
        <v>0</v>
      </c>
      <c r="K71" s="22">
        <f>$D27*K63*K$69*(1-$D42/100)</f>
        <v>0</v>
      </c>
      <c r="L71" s="22">
        <f>$D27*L63*L$69*(1-$D42/100)</f>
        <v>0</v>
      </c>
      <c r="M71" s="22">
        <f>$D27*M63*M$69*(1-$D42/100)</f>
        <v>0</v>
      </c>
      <c r="N71" s="2" t="s">
        <v>48</v>
      </c>
      <c r="O71" s="3"/>
    </row>
    <row r="72" spans="1:15" x14ac:dyDescent="0.35">
      <c r="A72" s="31" t="s">
        <v>227</v>
      </c>
      <c r="B72" s="71" t="s">
        <v>308</v>
      </c>
      <c r="C72" s="10" t="s">
        <v>148</v>
      </c>
      <c r="D72" s="29">
        <f t="shared" ref="D72" si="4">D69+D65</f>
        <v>0</v>
      </c>
      <c r="E72" s="29">
        <f t="shared" ref="E72:M72" si="5">E69+E65</f>
        <v>0</v>
      </c>
      <c r="F72" s="29">
        <f t="shared" si="5"/>
        <v>0</v>
      </c>
      <c r="G72" s="29">
        <f t="shared" si="5"/>
        <v>0</v>
      </c>
      <c r="H72" s="29">
        <f t="shared" si="5"/>
        <v>0</v>
      </c>
      <c r="I72" s="29">
        <f t="shared" si="5"/>
        <v>0</v>
      </c>
      <c r="J72" s="29">
        <f t="shared" si="5"/>
        <v>0</v>
      </c>
      <c r="K72" s="29">
        <f t="shared" si="5"/>
        <v>0</v>
      </c>
      <c r="L72" s="29">
        <f t="shared" si="5"/>
        <v>0</v>
      </c>
      <c r="M72" s="29">
        <f t="shared" si="5"/>
        <v>0</v>
      </c>
      <c r="N72" s="10" t="s">
        <v>13</v>
      </c>
      <c r="O72" s="11"/>
    </row>
    <row r="73" spans="1:15" x14ac:dyDescent="0.35">
      <c r="A73" s="302" t="s">
        <v>262</v>
      </c>
      <c r="B73" s="302" t="s">
        <v>314</v>
      </c>
      <c r="C73" s="2" t="s">
        <v>176</v>
      </c>
      <c r="D73" s="22">
        <f>IF(D72=0,0,(D66+D70)/D$72)</f>
        <v>0</v>
      </c>
      <c r="E73" s="22" t="e">
        <f t="shared" ref="E73:M73" si="6">(E66+E70)/E$72</f>
        <v>#DIV/0!</v>
      </c>
      <c r="F73" s="22" t="e">
        <f t="shared" si="6"/>
        <v>#DIV/0!</v>
      </c>
      <c r="G73" s="22" t="e">
        <f t="shared" si="6"/>
        <v>#DIV/0!</v>
      </c>
      <c r="H73" s="22" t="e">
        <f t="shared" si="6"/>
        <v>#DIV/0!</v>
      </c>
      <c r="I73" s="22" t="e">
        <f t="shared" si="6"/>
        <v>#DIV/0!</v>
      </c>
      <c r="J73" s="22" t="e">
        <f t="shared" si="6"/>
        <v>#DIV/0!</v>
      </c>
      <c r="K73" s="22" t="e">
        <f t="shared" si="6"/>
        <v>#DIV/0!</v>
      </c>
      <c r="L73" s="22" t="e">
        <f t="shared" si="6"/>
        <v>#DIV/0!</v>
      </c>
      <c r="M73" s="22" t="e">
        <f t="shared" si="6"/>
        <v>#DIV/0!</v>
      </c>
      <c r="N73" s="2" t="s">
        <v>44</v>
      </c>
      <c r="O73" s="3"/>
    </row>
    <row r="74" spans="1:15" x14ac:dyDescent="0.35">
      <c r="A74" s="303"/>
      <c r="B74" s="303"/>
      <c r="C74" s="2" t="s">
        <v>175</v>
      </c>
      <c r="D74" s="22">
        <f>IF(D72=0,0,(D67+D71)/D$72)</f>
        <v>0</v>
      </c>
      <c r="E74" s="22" t="e">
        <f t="shared" ref="E74:M74" si="7">(E67+E71)/E$72</f>
        <v>#DIV/0!</v>
      </c>
      <c r="F74" s="22" t="e">
        <f t="shared" si="7"/>
        <v>#DIV/0!</v>
      </c>
      <c r="G74" s="22" t="e">
        <f t="shared" si="7"/>
        <v>#DIV/0!</v>
      </c>
      <c r="H74" s="22" t="e">
        <f t="shared" si="7"/>
        <v>#DIV/0!</v>
      </c>
      <c r="I74" s="22" t="e">
        <f t="shared" si="7"/>
        <v>#DIV/0!</v>
      </c>
      <c r="J74" s="22" t="e">
        <f t="shared" si="7"/>
        <v>#DIV/0!</v>
      </c>
      <c r="K74" s="22" t="e">
        <f t="shared" si="7"/>
        <v>#DIV/0!</v>
      </c>
      <c r="L74" s="22" t="e">
        <f t="shared" si="7"/>
        <v>#DIV/0!</v>
      </c>
      <c r="M74" s="22" t="e">
        <f t="shared" si="7"/>
        <v>#DIV/0!</v>
      </c>
      <c r="N74" s="2" t="s">
        <v>44</v>
      </c>
      <c r="O74" s="3"/>
    </row>
    <row r="75" spans="1:15" x14ac:dyDescent="0.35">
      <c r="A75" s="2" t="s">
        <v>63</v>
      </c>
      <c r="B75" s="2" t="s">
        <v>193</v>
      </c>
      <c r="C75" s="2" t="s">
        <v>147</v>
      </c>
      <c r="D75" s="29">
        <f>$D$2+D72+D52</f>
        <v>0</v>
      </c>
      <c r="E75" s="29">
        <f>$D$2+E72+E52</f>
        <v>0</v>
      </c>
      <c r="F75" s="29">
        <f>$D$2+F72+F52</f>
        <v>0</v>
      </c>
      <c r="G75" s="29">
        <f>$D$2+G72+G52</f>
        <v>0</v>
      </c>
      <c r="H75" s="29">
        <f>$D$2+H72+H52</f>
        <v>0</v>
      </c>
      <c r="I75" s="29">
        <f>$D$2+I72+I52</f>
        <v>0</v>
      </c>
      <c r="J75" s="29">
        <f>$D$2+J72+J52</f>
        <v>0</v>
      </c>
      <c r="K75" s="29">
        <f>$D$2+K72+K52</f>
        <v>0</v>
      </c>
      <c r="L75" s="29">
        <f>$D$2+L72+L52</f>
        <v>0</v>
      </c>
      <c r="M75" s="29">
        <f>$D$2+M72+M52</f>
        <v>0</v>
      </c>
      <c r="N75" s="2" t="s">
        <v>13</v>
      </c>
      <c r="O75" s="3" t="s">
        <v>64</v>
      </c>
    </row>
    <row r="76" spans="1:15" x14ac:dyDescent="0.35">
      <c r="A76" s="26" t="s">
        <v>196</v>
      </c>
      <c r="B76" s="2" t="s">
        <v>252</v>
      </c>
      <c r="C76" s="26" t="s">
        <v>149</v>
      </c>
      <c r="D76" s="44" t="e">
        <f>$D59*D75^$D60</f>
        <v>#NUM!</v>
      </c>
      <c r="E76" s="44" t="e">
        <f>$D59*E75^$D60</f>
        <v>#NUM!</v>
      </c>
      <c r="F76" s="44" t="e">
        <f>$D59*F75^$D60</f>
        <v>#NUM!</v>
      </c>
      <c r="G76" s="44" t="e">
        <f>$D59*G75^$D60</f>
        <v>#NUM!</v>
      </c>
      <c r="H76" s="44" t="e">
        <f>$D59*H75^$D60</f>
        <v>#NUM!</v>
      </c>
      <c r="I76" s="44" t="e">
        <f>$D59*I75^$D60</f>
        <v>#NUM!</v>
      </c>
      <c r="J76" s="44" t="e">
        <f>$D59*J75^$D60</f>
        <v>#NUM!</v>
      </c>
      <c r="K76" s="44" t="e">
        <f>$D59*K75^$D60</f>
        <v>#NUM!</v>
      </c>
      <c r="L76" s="44" t="e">
        <f>$D59*L75^$D60</f>
        <v>#NUM!</v>
      </c>
      <c r="M76" s="44" t="e">
        <f>$D59*M75^$D60</f>
        <v>#NUM!</v>
      </c>
      <c r="N76" s="26" t="s">
        <v>39</v>
      </c>
      <c r="O76" s="27" t="s">
        <v>86</v>
      </c>
    </row>
    <row r="77" spans="1:15" ht="14.5" customHeight="1" thickBot="1" x14ac:dyDescent="0.4">
      <c r="A77" s="25" t="s">
        <v>89</v>
      </c>
      <c r="B77" s="58" t="s">
        <v>252</v>
      </c>
      <c r="C77" s="25" t="s">
        <v>150</v>
      </c>
      <c r="D77" s="45" t="e">
        <f>$D57*D75^$D58</f>
        <v>#NUM!</v>
      </c>
      <c r="E77" s="45" t="e">
        <f>$D57*E75^$D58</f>
        <v>#NUM!</v>
      </c>
      <c r="F77" s="45" t="e">
        <f>$D57*F75^$D58</f>
        <v>#NUM!</v>
      </c>
      <c r="G77" s="45" t="e">
        <f>$D57*G75^$D58</f>
        <v>#NUM!</v>
      </c>
      <c r="H77" s="45" t="e">
        <f>$D57*H75^$D58</f>
        <v>#NUM!</v>
      </c>
      <c r="I77" s="45" t="e">
        <f>$D57*I75^$D58</f>
        <v>#NUM!</v>
      </c>
      <c r="J77" s="45" t="e">
        <f>$D57*J75^$D58</f>
        <v>#NUM!</v>
      </c>
      <c r="K77" s="45" t="e">
        <f>$D57*K75^$D58</f>
        <v>#NUM!</v>
      </c>
      <c r="L77" s="45" t="e">
        <f>$D57*L75^$D58</f>
        <v>#NUM!</v>
      </c>
      <c r="M77" s="45" t="e">
        <f>$D57*M75^$D58</f>
        <v>#NUM!</v>
      </c>
      <c r="N77" s="25" t="s">
        <v>41</v>
      </c>
      <c r="O77" s="24" t="s">
        <v>90</v>
      </c>
    </row>
    <row r="78" spans="1:15" x14ac:dyDescent="0.35">
      <c r="A78" s="274" t="s">
        <v>151</v>
      </c>
      <c r="B78" s="275"/>
      <c r="C78" s="275"/>
      <c r="D78" s="275"/>
      <c r="E78" s="275"/>
      <c r="F78" s="275"/>
      <c r="G78" s="275"/>
      <c r="H78" s="275"/>
      <c r="I78" s="275"/>
      <c r="J78" s="275"/>
      <c r="K78" s="275"/>
      <c r="L78" s="275"/>
      <c r="M78" s="275"/>
      <c r="N78" s="275"/>
      <c r="O78" s="276"/>
    </row>
    <row r="79" spans="1:15" ht="15" thickBot="1" x14ac:dyDescent="0.4">
      <c r="A79" s="272" t="s">
        <v>60</v>
      </c>
      <c r="B79" s="273"/>
      <c r="C79" s="192" t="s">
        <v>61</v>
      </c>
      <c r="D79" s="200"/>
      <c r="E79" s="193" t="s">
        <v>13</v>
      </c>
      <c r="F79" s="33"/>
      <c r="G79" s="294"/>
      <c r="H79" s="295"/>
      <c r="I79" s="295"/>
      <c r="J79" s="295"/>
      <c r="K79" s="295"/>
      <c r="L79" s="295"/>
      <c r="M79" s="295"/>
      <c r="N79" s="295"/>
      <c r="O79" s="296"/>
    </row>
    <row r="80" spans="1:15" ht="15" thickBot="1" x14ac:dyDescent="0.4">
      <c r="A80" s="268" t="s">
        <v>62</v>
      </c>
      <c r="B80" s="269"/>
      <c r="C80" s="106" t="s">
        <v>183</v>
      </c>
      <c r="D80" s="205"/>
      <c r="E80" s="109" t="s">
        <v>44</v>
      </c>
      <c r="F80" s="27"/>
      <c r="G80" s="297"/>
      <c r="H80" s="298"/>
      <c r="I80" s="298"/>
      <c r="J80" s="298"/>
      <c r="K80" s="298"/>
      <c r="L80" s="298"/>
      <c r="M80" s="298"/>
      <c r="N80" s="299"/>
      <c r="O80" s="300"/>
    </row>
    <row r="81" spans="1:15" ht="15" thickBot="1" x14ac:dyDescent="0.4">
      <c r="A81" s="268" t="s">
        <v>207</v>
      </c>
      <c r="B81" s="269"/>
      <c r="C81" s="106" t="s">
        <v>184</v>
      </c>
      <c r="D81" s="216"/>
      <c r="E81" s="218"/>
      <c r="F81" s="199"/>
      <c r="G81" s="220"/>
      <c r="H81" s="199"/>
      <c r="I81" s="220"/>
      <c r="J81" s="199"/>
      <c r="K81" s="220"/>
      <c r="L81" s="199"/>
      <c r="M81" s="221"/>
      <c r="N81" s="193" t="s">
        <v>44</v>
      </c>
      <c r="O81" s="33"/>
    </row>
    <row r="82" spans="1:15" ht="14.5" customHeight="1" thickBot="1" x14ac:dyDescent="0.4">
      <c r="A82" s="270" t="s">
        <v>152</v>
      </c>
      <c r="B82" s="271"/>
      <c r="C82" s="107" t="s">
        <v>185</v>
      </c>
      <c r="D82" s="217"/>
      <c r="E82" s="219"/>
      <c r="F82" s="201"/>
      <c r="G82" s="222"/>
      <c r="H82" s="201"/>
      <c r="I82" s="222"/>
      <c r="J82" s="201"/>
      <c r="K82" s="222"/>
      <c r="L82" s="201"/>
      <c r="M82" s="223"/>
      <c r="N82" s="108" t="s">
        <v>13</v>
      </c>
      <c r="O82" s="24"/>
    </row>
    <row r="83" spans="1:15" ht="14.5" customHeight="1" x14ac:dyDescent="0.35">
      <c r="A83" s="274" t="s">
        <v>91</v>
      </c>
      <c r="B83" s="275"/>
      <c r="C83" s="275"/>
      <c r="D83" s="275"/>
      <c r="E83" s="275"/>
      <c r="F83" s="275"/>
      <c r="G83" s="275"/>
      <c r="H83" s="275"/>
      <c r="I83" s="275"/>
      <c r="J83" s="275"/>
      <c r="K83" s="275"/>
      <c r="L83" s="275"/>
      <c r="M83" s="275"/>
      <c r="N83" s="275"/>
      <c r="O83" s="276"/>
    </row>
    <row r="84" spans="1:15" ht="14.5" customHeight="1" x14ac:dyDescent="0.35">
      <c r="A84" s="194" t="s">
        <v>92</v>
      </c>
      <c r="B84" s="194"/>
      <c r="C84" s="194" t="s">
        <v>93</v>
      </c>
      <c r="D84" s="179">
        <f>MAX(D9:D10)</f>
        <v>0</v>
      </c>
      <c r="E84" s="194" t="s">
        <v>41</v>
      </c>
      <c r="F84" s="195" t="s">
        <v>94</v>
      </c>
      <c r="G84" s="277"/>
      <c r="H84" s="278"/>
      <c r="I84" s="278"/>
      <c r="J84" s="278"/>
      <c r="K84" s="278"/>
      <c r="L84" s="278"/>
      <c r="M84" s="278"/>
      <c r="N84" s="278"/>
      <c r="O84" s="279"/>
    </row>
    <row r="85" spans="1:15" ht="15" customHeight="1" x14ac:dyDescent="0.35">
      <c r="A85" s="83" t="s">
        <v>95</v>
      </c>
      <c r="B85" s="83" t="s">
        <v>96</v>
      </c>
      <c r="C85" s="110" t="s">
        <v>159</v>
      </c>
      <c r="D85" s="46">
        <v>0.03</v>
      </c>
      <c r="E85" s="111" t="s">
        <v>97</v>
      </c>
      <c r="F85" s="32"/>
      <c r="G85" s="280"/>
      <c r="H85" s="281"/>
      <c r="I85" s="281"/>
      <c r="J85" s="281"/>
      <c r="K85" s="281"/>
      <c r="L85" s="281"/>
      <c r="M85" s="281"/>
      <c r="N85" s="281"/>
      <c r="O85" s="282"/>
    </row>
    <row r="86" spans="1:15" x14ac:dyDescent="0.35">
      <c r="A86" s="84" t="s">
        <v>98</v>
      </c>
      <c r="B86" s="84" t="s">
        <v>278</v>
      </c>
      <c r="C86" s="112" t="s">
        <v>160</v>
      </c>
      <c r="D86" s="123">
        <f>IF(D3=20,9.1,(14.60307-D3*(0.4021469-D3*(0.00768703-0.0000692575*D3)))*EXP(-D$28/7991.0185))</f>
        <v>14.603070000000001</v>
      </c>
      <c r="E86" s="111" t="s">
        <v>44</v>
      </c>
      <c r="F86" s="32"/>
      <c r="G86" s="283"/>
      <c r="H86" s="284"/>
      <c r="I86" s="284"/>
      <c r="J86" s="284"/>
      <c r="K86" s="284"/>
      <c r="L86" s="284"/>
      <c r="M86" s="284"/>
      <c r="N86" s="284"/>
      <c r="O86" s="285"/>
    </row>
    <row r="87" spans="1:15" x14ac:dyDescent="0.35">
      <c r="A87" s="82" t="s">
        <v>381</v>
      </c>
      <c r="B87" s="83"/>
      <c r="C87" s="84" t="s">
        <v>161</v>
      </c>
      <c r="D87" s="113" t="e">
        <f t="shared" ref="D87:M87" si="8">IF(D77&lt;0.5,(10-13.5*D77)^(-0.588),D77)</f>
        <v>#NUM!</v>
      </c>
      <c r="E87" s="113" t="e">
        <f t="shared" si="8"/>
        <v>#NUM!</v>
      </c>
      <c r="F87" s="36" t="e">
        <f t="shared" si="8"/>
        <v>#NUM!</v>
      </c>
      <c r="G87" s="36" t="e">
        <f t="shared" si="8"/>
        <v>#NUM!</v>
      </c>
      <c r="H87" s="36" t="e">
        <f t="shared" si="8"/>
        <v>#NUM!</v>
      </c>
      <c r="I87" s="36" t="e">
        <f t="shared" si="8"/>
        <v>#NUM!</v>
      </c>
      <c r="J87" s="36" t="e">
        <f t="shared" si="8"/>
        <v>#NUM!</v>
      </c>
      <c r="K87" s="36" t="e">
        <f t="shared" si="8"/>
        <v>#NUM!</v>
      </c>
      <c r="L87" s="36" t="e">
        <f t="shared" si="8"/>
        <v>#NUM!</v>
      </c>
      <c r="M87" s="36" t="e">
        <f t="shared" si="8"/>
        <v>#NUM!</v>
      </c>
      <c r="N87" s="84" t="s">
        <v>41</v>
      </c>
      <c r="O87" s="20" t="s">
        <v>110</v>
      </c>
    </row>
    <row r="88" spans="1:15" x14ac:dyDescent="0.35">
      <c r="A88" s="82" t="s">
        <v>206</v>
      </c>
      <c r="B88" s="82"/>
      <c r="C88" s="82" t="s">
        <v>162</v>
      </c>
      <c r="D88" s="28" t="e">
        <f t="shared" ref="D88:M88" si="9">((D81*D82+$D$14*($D$2-$D79)+D73*D72)/(D82+$D$2-$D79+D72))</f>
        <v>#DIV/0!</v>
      </c>
      <c r="E88" s="28" t="e">
        <f t="shared" si="9"/>
        <v>#DIV/0!</v>
      </c>
      <c r="F88" s="28" t="e">
        <f t="shared" si="9"/>
        <v>#DIV/0!</v>
      </c>
      <c r="G88" s="28" t="e">
        <f t="shared" si="9"/>
        <v>#DIV/0!</v>
      </c>
      <c r="H88" s="28" t="e">
        <f t="shared" si="9"/>
        <v>#DIV/0!</v>
      </c>
      <c r="I88" s="28" t="e">
        <f t="shared" si="9"/>
        <v>#DIV/0!</v>
      </c>
      <c r="J88" s="28" t="e">
        <f t="shared" si="9"/>
        <v>#DIV/0!</v>
      </c>
      <c r="K88" s="28" t="e">
        <f t="shared" si="9"/>
        <v>#DIV/0!</v>
      </c>
      <c r="L88" s="28" t="e">
        <f t="shared" si="9"/>
        <v>#DIV/0!</v>
      </c>
      <c r="M88" s="28" t="e">
        <f t="shared" si="9"/>
        <v>#DIV/0!</v>
      </c>
      <c r="N88" s="82" t="s">
        <v>44</v>
      </c>
      <c r="O88" s="3" t="s">
        <v>99</v>
      </c>
    </row>
    <row r="89" spans="1:15" x14ac:dyDescent="0.35">
      <c r="A89" s="196" t="s">
        <v>127</v>
      </c>
      <c r="B89" s="197" t="s">
        <v>326</v>
      </c>
      <c r="C89" s="197" t="s">
        <v>142</v>
      </c>
      <c r="D89" s="22" t="e">
        <f>($D32*(100-$D33)/100*(D65/D72)+$D32*(100-$D34)/100*(D69/D72))</f>
        <v>#DIV/0!</v>
      </c>
      <c r="E89" s="22" t="e">
        <f>($D32*(100-$D33)/100*(E65/E72)+$D32*(100-$D34)/100*(E69/E72))</f>
        <v>#DIV/0!</v>
      </c>
      <c r="F89" s="22" t="e">
        <f>($D32*(100-$D33)/100*(F65/F72)+$D32*(100-$D34)/100*(F69/F72))</f>
        <v>#DIV/0!</v>
      </c>
      <c r="G89" s="22" t="e">
        <f>($D32*(100-$D33)/100*(G65/G72)+$D32*(100-$D34)/100*(G69/G72))</f>
        <v>#DIV/0!</v>
      </c>
      <c r="H89" s="22" t="e">
        <f>($D32*(100-$D33)/100*(H65/H72)+$D32*(100-$D34)/100*(H69/H72))</f>
        <v>#DIV/0!</v>
      </c>
      <c r="I89" s="22" t="e">
        <f>($D32*(100-$D33)/100*(I65/I72)+$D32*(100-$D34)/100*(I69/I72))</f>
        <v>#DIV/0!</v>
      </c>
      <c r="J89" s="22" t="e">
        <f>($D32*(100-$D33)/100*(J65/J72)+$D32*(100-$D34)/100*(J69/J72))</f>
        <v>#DIV/0!</v>
      </c>
      <c r="K89" s="22" t="e">
        <f>($D32*(100-$D33)/100*(K65/K72)+$D32*(100-$D34)/100*(K69/K72))</f>
        <v>#DIV/0!</v>
      </c>
      <c r="L89" s="22" t="e">
        <f>($D32*(100-$D33)/100*(L65/L72)+$D32*(100-$D34)/100*(L69/L72))</f>
        <v>#DIV/0!</v>
      </c>
      <c r="M89" s="22" t="e">
        <f>($D32*(100-$D33)/100*(M65/M72)+$D32*(100-$D34)/100*(M69/M72))</f>
        <v>#DIV/0!</v>
      </c>
      <c r="N89" s="82" t="s">
        <v>44</v>
      </c>
      <c r="O89" s="3"/>
    </row>
    <row r="90" spans="1:15" x14ac:dyDescent="0.35">
      <c r="A90" s="82" t="s">
        <v>100</v>
      </c>
      <c r="B90" s="82"/>
      <c r="C90" s="82" t="s">
        <v>163</v>
      </c>
      <c r="D90" s="28" t="e">
        <f>(($D80*D82+$D$12*($D$2-$D79)+D89*D72)/(D82+$D$2-$D79+D72))</f>
        <v>#DIV/0!</v>
      </c>
      <c r="E90" s="28" t="e">
        <f t="shared" ref="E90:M90" si="10">(($D80*E82+$D$12*($D$2-$D79)+E89*E72)/(E82+$D$2-$D79+E72))</f>
        <v>#DIV/0!</v>
      </c>
      <c r="F90" s="28" t="e">
        <f t="shared" si="10"/>
        <v>#DIV/0!</v>
      </c>
      <c r="G90" s="28" t="e">
        <f t="shared" si="10"/>
        <v>#DIV/0!</v>
      </c>
      <c r="H90" s="28" t="e">
        <f t="shared" si="10"/>
        <v>#DIV/0!</v>
      </c>
      <c r="I90" s="28" t="e">
        <f t="shared" si="10"/>
        <v>#DIV/0!</v>
      </c>
      <c r="J90" s="28" t="e">
        <f t="shared" si="10"/>
        <v>#DIV/0!</v>
      </c>
      <c r="K90" s="28" t="e">
        <f t="shared" si="10"/>
        <v>#DIV/0!</v>
      </c>
      <c r="L90" s="28" t="e">
        <f t="shared" si="10"/>
        <v>#DIV/0!</v>
      </c>
      <c r="M90" s="28" t="e">
        <f t="shared" si="10"/>
        <v>#DIV/0!</v>
      </c>
      <c r="N90" s="82" t="s">
        <v>44</v>
      </c>
      <c r="O90" s="3" t="s">
        <v>101</v>
      </c>
    </row>
    <row r="91" spans="1:15" x14ac:dyDescent="0.35">
      <c r="A91" s="82" t="s">
        <v>102</v>
      </c>
      <c r="B91" s="82" t="s">
        <v>103</v>
      </c>
      <c r="C91" s="82" t="s">
        <v>164</v>
      </c>
      <c r="D91" s="28" t="e">
        <f>IF((D90*(D94-$D$85)/($D$85*D88)&gt;1),0,(1/D94-$D$85)*LN((D94/$D$85)*(1-((D90*(D94-$D$85))/($D$85*D88)))))</f>
        <v>#DIV/0!</v>
      </c>
      <c r="E91" s="28" t="e">
        <f>IF((E90*(E94-$D$85)/($D$85*E88)&gt;1),0,(1/E94-$D$85)*LN((E94/$D$85)*(1-((E90*(E94-$D$85))/($D$85*E88)))))</f>
        <v>#DIV/0!</v>
      </c>
      <c r="F91" s="28" t="e">
        <f t="shared" ref="F91:M91" si="11">IF((F90*(F94-$D$85)/($D$85*F88)&gt;1),0,(1/F94-$D$85)*LN((F94/$D$85)*(1-((F90*(F94-$D$85))/($D$85*F88)))))</f>
        <v>#DIV/0!</v>
      </c>
      <c r="G91" s="28" t="e">
        <f t="shared" si="11"/>
        <v>#DIV/0!</v>
      </c>
      <c r="H91" s="28" t="e">
        <f t="shared" si="11"/>
        <v>#DIV/0!</v>
      </c>
      <c r="I91" s="28" t="e">
        <f t="shared" si="11"/>
        <v>#DIV/0!</v>
      </c>
      <c r="J91" s="28" t="e">
        <f t="shared" si="11"/>
        <v>#DIV/0!</v>
      </c>
      <c r="K91" s="28" t="e">
        <f t="shared" si="11"/>
        <v>#DIV/0!</v>
      </c>
      <c r="L91" s="28" t="e">
        <f t="shared" si="11"/>
        <v>#DIV/0!</v>
      </c>
      <c r="M91" s="28" t="e">
        <f t="shared" si="11"/>
        <v>#DIV/0!</v>
      </c>
      <c r="N91" s="82" t="s">
        <v>25</v>
      </c>
      <c r="O91" s="3" t="s">
        <v>104</v>
      </c>
    </row>
    <row r="92" spans="1:15" x14ac:dyDescent="0.35">
      <c r="A92" s="82" t="s">
        <v>105</v>
      </c>
      <c r="B92" s="82"/>
      <c r="C92" s="82" t="s">
        <v>165</v>
      </c>
      <c r="D92" s="28" t="e">
        <f t="shared" ref="D92:M92" si="12">$D$84/D76/3600</f>
        <v>#NUM!</v>
      </c>
      <c r="E92" s="28" t="e">
        <f t="shared" si="12"/>
        <v>#NUM!</v>
      </c>
      <c r="F92" s="28" t="e">
        <f t="shared" si="12"/>
        <v>#NUM!</v>
      </c>
      <c r="G92" s="28" t="e">
        <f t="shared" si="12"/>
        <v>#NUM!</v>
      </c>
      <c r="H92" s="28" t="e">
        <f t="shared" si="12"/>
        <v>#NUM!</v>
      </c>
      <c r="I92" s="28" t="e">
        <f t="shared" si="12"/>
        <v>#NUM!</v>
      </c>
      <c r="J92" s="28" t="e">
        <f t="shared" si="12"/>
        <v>#NUM!</v>
      </c>
      <c r="K92" s="28" t="e">
        <f t="shared" si="12"/>
        <v>#NUM!</v>
      </c>
      <c r="L92" s="28" t="e">
        <f t="shared" si="12"/>
        <v>#NUM!</v>
      </c>
      <c r="M92" s="28" t="e">
        <f t="shared" si="12"/>
        <v>#NUM!</v>
      </c>
      <c r="N92" s="82" t="s">
        <v>25</v>
      </c>
      <c r="O92" s="3" t="s">
        <v>106</v>
      </c>
    </row>
    <row r="93" spans="1:15" x14ac:dyDescent="0.35">
      <c r="A93" s="82" t="s">
        <v>107</v>
      </c>
      <c r="B93" s="82" t="s">
        <v>103</v>
      </c>
      <c r="C93" s="82" t="s">
        <v>166</v>
      </c>
      <c r="D93" s="28" t="e">
        <f t="shared" ref="D93:M93" si="13">IF(IF(D92&lt;D91,($D$85/D94)*D88*EXP(-$D$85*D92),($D$85/D94)*D88*EXP(-$D$85*D91))&gt;$D86,$D86,IF(D92&lt;D91,($D$85/D94)*D88*EXP(-$D$85*D92),($D$85/D94)*D88*EXP(-$D$85*D91)))</f>
        <v>#NUM!</v>
      </c>
      <c r="E93" s="28" t="e">
        <f t="shared" si="13"/>
        <v>#NUM!</v>
      </c>
      <c r="F93" s="28" t="e">
        <f t="shared" si="13"/>
        <v>#NUM!</v>
      </c>
      <c r="G93" s="28" t="e">
        <f t="shared" si="13"/>
        <v>#NUM!</v>
      </c>
      <c r="H93" s="28" t="e">
        <f t="shared" si="13"/>
        <v>#NUM!</v>
      </c>
      <c r="I93" s="28" t="e">
        <f t="shared" si="13"/>
        <v>#NUM!</v>
      </c>
      <c r="J93" s="28" t="e">
        <f t="shared" si="13"/>
        <v>#NUM!</v>
      </c>
      <c r="K93" s="28" t="e">
        <f t="shared" si="13"/>
        <v>#NUM!</v>
      </c>
      <c r="L93" s="28" t="e">
        <f t="shared" si="13"/>
        <v>#NUM!</v>
      </c>
      <c r="M93" s="28" t="e">
        <f t="shared" si="13"/>
        <v>#NUM!</v>
      </c>
      <c r="N93" s="82" t="s">
        <v>44</v>
      </c>
      <c r="O93" s="3" t="s">
        <v>108</v>
      </c>
    </row>
    <row r="94" spans="1:15" x14ac:dyDescent="0.35">
      <c r="A94" s="182" t="s">
        <v>109</v>
      </c>
      <c r="B94" s="182" t="s">
        <v>254</v>
      </c>
      <c r="C94" s="182" t="s">
        <v>393</v>
      </c>
      <c r="D94" s="183" t="e">
        <f>((1.02^($D3-20))*((3+(40/Gewässerhydraulik!$D10))*((D76^0.7)/(D87^1.7))+(0.5/D77)))/24</f>
        <v>#DIV/0!</v>
      </c>
      <c r="E94" s="183" t="e">
        <f>((1.02^($D3-20))*((3+(40/Gewässerhydraulik!$D10))*((E76^0.7)/(E87^1.7))+(0.5/E77)))/24</f>
        <v>#DIV/0!</v>
      </c>
      <c r="F94" s="183" t="e">
        <f>((1.02^($D3-20))*((3+(40/Gewässerhydraulik!$D10))*((F76^0.7)/(F87^1.7))+(0.5/F77)))/24</f>
        <v>#DIV/0!</v>
      </c>
      <c r="G94" s="183" t="e">
        <f>((1.02^($D3-20))*((3+(40/Gewässerhydraulik!$D10))*((G76^0.7)/(G87^1.7))+(0.5/G77)))/24</f>
        <v>#DIV/0!</v>
      </c>
      <c r="H94" s="183" t="e">
        <f>((1.02^($D3-20))*((3+(40/Gewässerhydraulik!$D10))*((H76^0.7)/(H87^1.7))+(0.5/H77)))/24</f>
        <v>#DIV/0!</v>
      </c>
      <c r="I94" s="183" t="e">
        <f>((1.02^($D3-20))*((3+(40/Gewässerhydraulik!$D10))*((I76^0.7)/(I87^1.7))+(0.5/I77)))/24</f>
        <v>#DIV/0!</v>
      </c>
      <c r="J94" s="183" t="e">
        <f>((1.02^($D3-20))*((3+(40/Gewässerhydraulik!$D10))*((J76^0.7)/(J87^1.7))+(0.5/J77)))/24</f>
        <v>#DIV/0!</v>
      </c>
      <c r="K94" s="183" t="e">
        <f>((1.02^($D3-20))*((3+(40/Gewässerhydraulik!$D10))*((K76^0.7)/(K87^1.7))+(0.5/K77)))/24</f>
        <v>#DIV/0!</v>
      </c>
      <c r="L94" s="183" t="e">
        <f>((1.02^($D3-20))*((3+(40/Gewässerhydraulik!$D10))*((L76^0.7)/(L87^1.7))+(0.5/L77)))/24</f>
        <v>#DIV/0!</v>
      </c>
      <c r="M94" s="183" t="e">
        <f>((1.02^($D3-20))*((3+(40/Gewässerhydraulik!$D10))*((M76^0.7)/(M87^1.7))+(0.5/M77)))/24</f>
        <v>#DIV/0!</v>
      </c>
      <c r="N94" s="182" t="s">
        <v>97</v>
      </c>
      <c r="O94" s="184" t="s">
        <v>110</v>
      </c>
    </row>
    <row r="95" spans="1:15" ht="15" thickBot="1" x14ac:dyDescent="0.4">
      <c r="A95" s="85" t="s">
        <v>111</v>
      </c>
      <c r="B95" s="85" t="s">
        <v>197</v>
      </c>
      <c r="C95" s="85" t="s">
        <v>167</v>
      </c>
      <c r="D95" s="45" t="e">
        <f>$D$86-D93</f>
        <v>#NUM!</v>
      </c>
      <c r="E95" s="45" t="e">
        <f>$D$86-E93</f>
        <v>#NUM!</v>
      </c>
      <c r="F95" s="45" t="e">
        <f t="shared" ref="F95:M95" si="14">$D$86-F93</f>
        <v>#NUM!</v>
      </c>
      <c r="G95" s="45" t="e">
        <f t="shared" si="14"/>
        <v>#NUM!</v>
      </c>
      <c r="H95" s="45" t="e">
        <f t="shared" si="14"/>
        <v>#NUM!</v>
      </c>
      <c r="I95" s="45" t="e">
        <f t="shared" si="14"/>
        <v>#NUM!</v>
      </c>
      <c r="J95" s="45" t="e">
        <f t="shared" si="14"/>
        <v>#NUM!</v>
      </c>
      <c r="K95" s="45" t="e">
        <f t="shared" si="14"/>
        <v>#NUM!</v>
      </c>
      <c r="L95" s="45" t="e">
        <f t="shared" si="14"/>
        <v>#NUM!</v>
      </c>
      <c r="M95" s="45" t="e">
        <f t="shared" si="14"/>
        <v>#NUM!</v>
      </c>
      <c r="N95" s="85" t="s">
        <v>44</v>
      </c>
      <c r="O95" s="24" t="s">
        <v>112</v>
      </c>
    </row>
    <row r="96" spans="1:15" x14ac:dyDescent="0.35">
      <c r="A96" s="286" t="s">
        <v>228</v>
      </c>
      <c r="B96" s="287"/>
      <c r="C96" s="287"/>
      <c r="D96" s="287"/>
      <c r="E96" s="287"/>
      <c r="F96" s="287"/>
      <c r="G96" s="287"/>
      <c r="H96" s="287"/>
      <c r="I96" s="287"/>
      <c r="J96" s="287"/>
      <c r="K96" s="287"/>
      <c r="L96" s="287"/>
      <c r="M96" s="287"/>
      <c r="N96" s="287"/>
      <c r="O96" s="288"/>
    </row>
    <row r="97" spans="1:15" x14ac:dyDescent="0.35">
      <c r="A97" s="132" t="s">
        <v>113</v>
      </c>
      <c r="B97" s="132"/>
      <c r="C97" s="132" t="s">
        <v>170</v>
      </c>
      <c r="D97" s="30">
        <f>0.09018+(2729.92/(273.2+20))</f>
        <v>9.4009576261937244</v>
      </c>
      <c r="E97" s="134" t="s">
        <v>10</v>
      </c>
      <c r="F97" s="20" t="s">
        <v>121</v>
      </c>
      <c r="G97" s="263"/>
      <c r="H97" s="264"/>
      <c r="I97" s="264"/>
      <c r="J97" s="264"/>
      <c r="K97" s="264"/>
      <c r="L97" s="264"/>
      <c r="M97" s="264"/>
      <c r="N97" s="264"/>
      <c r="O97" s="265"/>
    </row>
    <row r="98" spans="1:15" x14ac:dyDescent="0.35">
      <c r="A98" s="132" t="s">
        <v>229</v>
      </c>
      <c r="B98" s="132"/>
      <c r="C98" s="132" t="s">
        <v>169</v>
      </c>
      <c r="D98" s="22" t="e">
        <f>($D5*$D2+(D52+D72)*$D30)/($D2+D72+D52)</f>
        <v>#DIV/0!</v>
      </c>
      <c r="E98" s="22" t="e">
        <f>($D5*$D2+(E52+E72)*$D30)/($D2+E72+E52)</f>
        <v>#DIV/0!</v>
      </c>
      <c r="F98" s="22" t="e">
        <f>($D5*$D2+(F52+F72)*$D30)/($D2+F72+F52)</f>
        <v>#DIV/0!</v>
      </c>
      <c r="G98" s="92" t="e">
        <f>($D5*$D2+(G52+G72)*$D30)/($D2+G72+G52)</f>
        <v>#DIV/0!</v>
      </c>
      <c r="H98" s="92" t="e">
        <f>($D5*$D2+(H52+H72)*$D30)/($D2+H72+H52)</f>
        <v>#DIV/0!</v>
      </c>
      <c r="I98" s="92" t="e">
        <f>($D5*$D2+(I52+I72)*$D30)/($D2+I72+I52)</f>
        <v>#DIV/0!</v>
      </c>
      <c r="J98" s="92" t="e">
        <f>($D5*$D2+(J52+J72)*$D30)/($D2+J72+J52)</f>
        <v>#DIV/0!</v>
      </c>
      <c r="K98" s="92" t="e">
        <f>($D5*$D2+(K52+K72)*$D30)/($D2+K72+K52)</f>
        <v>#DIV/0!</v>
      </c>
      <c r="L98" s="92" t="e">
        <f>($D5*$D2+(L52+L72)*$D30)/($D2+L72+L52)</f>
        <v>#DIV/0!</v>
      </c>
      <c r="M98" s="92" t="e">
        <f>($D5*$D2+(M52+M72)*$D30)/($D2+M72+M52)</f>
        <v>#DIV/0!</v>
      </c>
      <c r="N98" s="133" t="s">
        <v>33</v>
      </c>
      <c r="O98" s="33" t="s">
        <v>114</v>
      </c>
    </row>
    <row r="99" spans="1:15" x14ac:dyDescent="0.35">
      <c r="A99" s="132" t="s">
        <v>115</v>
      </c>
      <c r="B99" s="132"/>
      <c r="C99" s="132" t="s">
        <v>202</v>
      </c>
      <c r="D99" s="22" t="e">
        <f>($D6*$D2+(D52+D72)*$D31)/($D2+D72+D52)</f>
        <v>#DIV/0!</v>
      </c>
      <c r="E99" s="22" t="e">
        <f>($D6*$D2+(E52+E72)*$D31)/($D2+E72+E52)</f>
        <v>#DIV/0!</v>
      </c>
      <c r="F99" s="22" t="e">
        <f>($D6*$D2+(F52+F72)*$D31)/($D2+F72+F52)</f>
        <v>#DIV/0!</v>
      </c>
      <c r="G99" s="22" t="e">
        <f>($D6*$D2+(G52+G72)*$D31)/($D2+G72+G52)</f>
        <v>#DIV/0!</v>
      </c>
      <c r="H99" s="22" t="e">
        <f>($D6*$D2+(H52+H72)*$D31)/($D2+H72+H52)</f>
        <v>#DIV/0!</v>
      </c>
      <c r="I99" s="22" t="e">
        <f>($D6*$D2+(I52+I72)*$D31)/($D2+I72+I52)</f>
        <v>#DIV/0!</v>
      </c>
      <c r="J99" s="22" t="e">
        <f>($D6*$D2+(J52+J72)*$D31)/($D2+J72+J52)</f>
        <v>#DIV/0!</v>
      </c>
      <c r="K99" s="22" t="e">
        <f>($D6*$D2+(K52+K72)*$D31)/($D2+K72+K52)</f>
        <v>#DIV/0!</v>
      </c>
      <c r="L99" s="22" t="e">
        <f>($D6*$D2+(L52+L72)*$D31)/($D2+L72+L52)</f>
        <v>#DIV/0!</v>
      </c>
      <c r="M99" s="22" t="e">
        <f>($D6*$D2+(M52+M72)*$D31)/($D2+M72+M52)</f>
        <v>#DIV/0!</v>
      </c>
      <c r="N99" s="132" t="s">
        <v>44</v>
      </c>
      <c r="O99" s="3" t="s">
        <v>116</v>
      </c>
    </row>
    <row r="100" spans="1:15" x14ac:dyDescent="0.35">
      <c r="A100" s="132" t="s">
        <v>117</v>
      </c>
      <c r="B100" s="132" t="s">
        <v>118</v>
      </c>
      <c r="C100" s="132" t="s">
        <v>168</v>
      </c>
      <c r="D100" s="29" t="e">
        <f>-LOG10(((10^-6.3)*D99-(10^-6.3)*D98)/D98)</f>
        <v>#DIV/0!</v>
      </c>
      <c r="E100" s="29" t="e">
        <f>-LOG10(((10^-6.3)*E99-(10^-6.3)*E98)/E98)</f>
        <v>#DIV/0!</v>
      </c>
      <c r="F100" s="29" t="e">
        <f t="shared" ref="F100:L100" si="15">-LOG10(((10^-6.3)*F99-(10^-6.3)*F98)/F98)</f>
        <v>#DIV/0!</v>
      </c>
      <c r="G100" s="29" t="e">
        <f t="shared" si="15"/>
        <v>#DIV/0!</v>
      </c>
      <c r="H100" s="29" t="e">
        <f t="shared" si="15"/>
        <v>#DIV/0!</v>
      </c>
      <c r="I100" s="29" t="e">
        <f t="shared" si="15"/>
        <v>#DIV/0!</v>
      </c>
      <c r="J100" s="29" t="e">
        <f t="shared" si="15"/>
        <v>#DIV/0!</v>
      </c>
      <c r="K100" s="29" t="e">
        <f t="shared" si="15"/>
        <v>#DIV/0!</v>
      </c>
      <c r="L100" s="29" t="e">
        <f t="shared" si="15"/>
        <v>#DIV/0!</v>
      </c>
      <c r="M100" s="29" t="e">
        <f>-LOG10(((10^-6.3)*M99-(10^-6.3)*M98)/M98)</f>
        <v>#DIV/0!</v>
      </c>
      <c r="N100" s="132" t="s">
        <v>10</v>
      </c>
      <c r="O100" s="3" t="s">
        <v>119</v>
      </c>
    </row>
    <row r="101" spans="1:15" x14ac:dyDescent="0.35">
      <c r="A101" s="132" t="s">
        <v>203</v>
      </c>
      <c r="B101" s="132"/>
      <c r="C101" s="132" t="s">
        <v>186</v>
      </c>
      <c r="D101" s="29">
        <f>$D17+D67+D71+D54</f>
        <v>0</v>
      </c>
      <c r="E101" s="29">
        <f>$D17+E67+E71+E54</f>
        <v>0</v>
      </c>
      <c r="F101" s="29">
        <f>$D17+F67+F71+F54</f>
        <v>0</v>
      </c>
      <c r="G101" s="29">
        <f>$D17+G67+G71+G54</f>
        <v>0</v>
      </c>
      <c r="H101" s="29">
        <f>$D17+H67+H71+H54</f>
        <v>0</v>
      </c>
      <c r="I101" s="29">
        <f>$D17+I67+I71+I54</f>
        <v>0</v>
      </c>
      <c r="J101" s="29">
        <f>$D17+J67+J71+J54</f>
        <v>0</v>
      </c>
      <c r="K101" s="29">
        <f>$D17+K67+K71+K54</f>
        <v>0</v>
      </c>
      <c r="L101" s="29">
        <f>$D17+L67+L71+L54</f>
        <v>0</v>
      </c>
      <c r="M101" s="29">
        <f>$D17+M67+M71+M54</f>
        <v>0</v>
      </c>
      <c r="N101" s="132" t="s">
        <v>48</v>
      </c>
      <c r="O101" s="3" t="s">
        <v>70</v>
      </c>
    </row>
    <row r="102" spans="1:15" x14ac:dyDescent="0.35">
      <c r="A102" s="132" t="s">
        <v>204</v>
      </c>
      <c r="B102" s="132" t="s">
        <v>198</v>
      </c>
      <c r="C102" s="132" t="s">
        <v>187</v>
      </c>
      <c r="D102" s="22" t="e">
        <f t="shared" ref="D102:M102" si="16">D101/D$75</f>
        <v>#DIV/0!</v>
      </c>
      <c r="E102" s="22" t="e">
        <f t="shared" si="16"/>
        <v>#DIV/0!</v>
      </c>
      <c r="F102" s="22" t="e">
        <f t="shared" si="16"/>
        <v>#DIV/0!</v>
      </c>
      <c r="G102" s="22" t="e">
        <f t="shared" si="16"/>
        <v>#DIV/0!</v>
      </c>
      <c r="H102" s="22" t="e">
        <f t="shared" si="16"/>
        <v>#DIV/0!</v>
      </c>
      <c r="I102" s="22" t="e">
        <f t="shared" si="16"/>
        <v>#DIV/0!</v>
      </c>
      <c r="J102" s="22" t="e">
        <f t="shared" si="16"/>
        <v>#DIV/0!</v>
      </c>
      <c r="K102" s="22" t="e">
        <f t="shared" si="16"/>
        <v>#DIV/0!</v>
      </c>
      <c r="L102" s="22" t="e">
        <f t="shared" si="16"/>
        <v>#DIV/0!</v>
      </c>
      <c r="M102" s="22" t="e">
        <f t="shared" si="16"/>
        <v>#DIV/0!</v>
      </c>
      <c r="N102" s="132" t="s">
        <v>44</v>
      </c>
      <c r="O102" s="3" t="s">
        <v>71</v>
      </c>
    </row>
    <row r="103" spans="1:15" x14ac:dyDescent="0.35">
      <c r="A103" s="132" t="s">
        <v>205</v>
      </c>
      <c r="B103" s="132" t="s">
        <v>199</v>
      </c>
      <c r="C103" s="132" t="s">
        <v>188</v>
      </c>
      <c r="D103" s="22" t="e">
        <f t="shared" ref="D103:M103" si="17">D102/(10^($D97-D100)+1)</f>
        <v>#DIV/0!</v>
      </c>
      <c r="E103" s="22" t="e">
        <f t="shared" si="17"/>
        <v>#DIV/0!</v>
      </c>
      <c r="F103" s="22" t="e">
        <f t="shared" si="17"/>
        <v>#DIV/0!</v>
      </c>
      <c r="G103" s="22" t="e">
        <f t="shared" si="17"/>
        <v>#DIV/0!</v>
      </c>
      <c r="H103" s="22" t="e">
        <f t="shared" si="17"/>
        <v>#DIV/0!</v>
      </c>
      <c r="I103" s="22" t="e">
        <f t="shared" si="17"/>
        <v>#DIV/0!</v>
      </c>
      <c r="J103" s="22" t="e">
        <f t="shared" si="17"/>
        <v>#DIV/0!</v>
      </c>
      <c r="K103" s="22" t="e">
        <f t="shared" si="17"/>
        <v>#DIV/0!</v>
      </c>
      <c r="L103" s="22" t="e">
        <f t="shared" si="17"/>
        <v>#DIV/0!</v>
      </c>
      <c r="M103" s="22" t="e">
        <f t="shared" si="17"/>
        <v>#DIV/0!</v>
      </c>
      <c r="N103" s="132" t="s">
        <v>44</v>
      </c>
      <c r="O103" s="3" t="s">
        <v>120</v>
      </c>
    </row>
    <row r="126" spans="3:13" x14ac:dyDescent="0.35">
      <c r="C126" s="37" t="s">
        <v>189</v>
      </c>
      <c r="D126" s="37">
        <v>5</v>
      </c>
      <c r="E126" s="37">
        <v>5</v>
      </c>
      <c r="F126" s="37">
        <v>5</v>
      </c>
      <c r="G126" s="37">
        <v>5</v>
      </c>
      <c r="H126" s="37">
        <v>5</v>
      </c>
      <c r="I126" s="37">
        <v>5</v>
      </c>
      <c r="J126" s="37">
        <v>5</v>
      </c>
      <c r="K126" s="37">
        <v>5</v>
      </c>
      <c r="L126" s="37">
        <v>5</v>
      </c>
      <c r="M126" s="37">
        <v>5</v>
      </c>
    </row>
    <row r="127" spans="3:13" x14ac:dyDescent="0.35">
      <c r="C127" s="37" t="s">
        <v>190</v>
      </c>
      <c r="D127" s="37">
        <v>0.1</v>
      </c>
      <c r="E127" s="37">
        <v>0.1</v>
      </c>
      <c r="F127" s="37">
        <v>0.1</v>
      </c>
      <c r="G127" s="37">
        <v>0.1</v>
      </c>
      <c r="H127" s="37">
        <v>0.1</v>
      </c>
      <c r="I127" s="37">
        <v>0.1</v>
      </c>
      <c r="J127" s="37">
        <v>0.1</v>
      </c>
      <c r="K127" s="37">
        <v>0.1</v>
      </c>
      <c r="L127" s="37">
        <v>0.1</v>
      </c>
      <c r="M127" s="37">
        <v>0.1</v>
      </c>
    </row>
  </sheetData>
  <sheetProtection sheet="1" objects="1" scenarios="1"/>
  <mergeCells count="34">
    <mergeCell ref="G2:N9"/>
    <mergeCell ref="G10:N12"/>
    <mergeCell ref="A62:A63"/>
    <mergeCell ref="A73:A74"/>
    <mergeCell ref="B73:B74"/>
    <mergeCell ref="A66:A67"/>
    <mergeCell ref="B66:B67"/>
    <mergeCell ref="A61:B61"/>
    <mergeCell ref="B16:B17"/>
    <mergeCell ref="A16:A17"/>
    <mergeCell ref="A14:A15"/>
    <mergeCell ref="A41:A42"/>
    <mergeCell ref="A24:A25"/>
    <mergeCell ref="A57:B60"/>
    <mergeCell ref="A83:O83"/>
    <mergeCell ref="B41:B42"/>
    <mergeCell ref="A26:A27"/>
    <mergeCell ref="B53:B54"/>
    <mergeCell ref="A48:A49"/>
    <mergeCell ref="A33:B33"/>
    <mergeCell ref="A50:B50"/>
    <mergeCell ref="A53:A54"/>
    <mergeCell ref="A34:B34"/>
    <mergeCell ref="G79:O80"/>
    <mergeCell ref="G97:O97"/>
    <mergeCell ref="A70:A71"/>
    <mergeCell ref="B70:B71"/>
    <mergeCell ref="A80:B80"/>
    <mergeCell ref="A81:B81"/>
    <mergeCell ref="A82:B82"/>
    <mergeCell ref="A79:B79"/>
    <mergeCell ref="A78:O78"/>
    <mergeCell ref="G84:O86"/>
    <mergeCell ref="A96:O96"/>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F16"/>
  <sheetViews>
    <sheetView zoomScaleNormal="100" workbookViewId="0">
      <selection activeCell="D9" sqref="D9"/>
    </sheetView>
  </sheetViews>
  <sheetFormatPr baseColWidth="10" defaultRowHeight="14.5" x14ac:dyDescent="0.35"/>
  <cols>
    <col min="1" max="1" width="47.36328125" customWidth="1"/>
    <col min="2" max="2" width="39.7265625" customWidth="1"/>
    <col min="3" max="3" width="11.26953125" bestFit="1" customWidth="1"/>
    <col min="4" max="4" width="10.54296875" customWidth="1"/>
    <col min="5" max="5" width="8.1796875" customWidth="1"/>
    <col min="6" max="6" width="7.7265625" customWidth="1"/>
  </cols>
  <sheetData>
    <row r="1" spans="1:6" ht="15" thickBot="1" x14ac:dyDescent="0.4">
      <c r="A1" s="305" t="s">
        <v>342</v>
      </c>
      <c r="B1" s="306"/>
      <c r="C1" s="306"/>
      <c r="D1" s="306"/>
      <c r="E1" s="306"/>
      <c r="F1" s="307"/>
    </row>
    <row r="3" spans="1:6" ht="15" thickBot="1" x14ac:dyDescent="0.4">
      <c r="A3" s="1" t="s">
        <v>0</v>
      </c>
    </row>
    <row r="4" spans="1:6" ht="15" thickBot="1" x14ac:dyDescent="0.4">
      <c r="A4" s="2" t="s">
        <v>358</v>
      </c>
      <c r="B4" s="2" t="s">
        <v>350</v>
      </c>
      <c r="C4" s="89" t="s">
        <v>357</v>
      </c>
      <c r="D4" s="210"/>
      <c r="E4" s="91" t="s">
        <v>343</v>
      </c>
    </row>
    <row r="5" spans="1:6" ht="15" thickBot="1" x14ac:dyDescent="0.4">
      <c r="A5" s="158" t="s">
        <v>360</v>
      </c>
      <c r="B5" s="2"/>
      <c r="C5" s="89" t="s">
        <v>364</v>
      </c>
      <c r="D5" s="211"/>
      <c r="E5" s="91" t="s">
        <v>44</v>
      </c>
    </row>
    <row r="6" spans="1:6" ht="29.5" thickBot="1" x14ac:dyDescent="0.4">
      <c r="A6" s="157" t="s">
        <v>349</v>
      </c>
      <c r="B6" s="157" t="s">
        <v>365</v>
      </c>
      <c r="C6" s="159" t="s">
        <v>348</v>
      </c>
      <c r="D6" s="211"/>
      <c r="E6" s="160" t="s">
        <v>44</v>
      </c>
    </row>
    <row r="8" spans="1:6" ht="15" thickBot="1" x14ac:dyDescent="0.4">
      <c r="A8" s="1" t="s">
        <v>50</v>
      </c>
    </row>
    <row r="9" spans="1:6" ht="15" thickBot="1" x14ac:dyDescent="0.4">
      <c r="A9" s="156" t="s">
        <v>344</v>
      </c>
      <c r="B9" s="2" t="s">
        <v>3</v>
      </c>
      <c r="C9" s="89" t="s">
        <v>345</v>
      </c>
      <c r="D9" s="199"/>
      <c r="E9" s="97" t="s">
        <v>346</v>
      </c>
    </row>
    <row r="10" spans="1:6" x14ac:dyDescent="0.35">
      <c r="A10" s="156" t="s">
        <v>56</v>
      </c>
      <c r="B10" s="156"/>
      <c r="C10" s="2" t="s">
        <v>140</v>
      </c>
      <c r="D10" s="95">
        <v>1</v>
      </c>
      <c r="E10" s="10" t="s">
        <v>10</v>
      </c>
    </row>
    <row r="11" spans="1:6" x14ac:dyDescent="0.35">
      <c r="A11" s="156" t="s">
        <v>283</v>
      </c>
      <c r="B11" s="157"/>
      <c r="C11" s="96" t="s">
        <v>141</v>
      </c>
      <c r="D11" s="149">
        <f>'Hydrologischer Nachweis'!D23</f>
        <v>0</v>
      </c>
      <c r="E11" s="10" t="s">
        <v>57</v>
      </c>
    </row>
    <row r="12" spans="1:6" x14ac:dyDescent="0.35">
      <c r="A12" s="156" t="s">
        <v>347</v>
      </c>
      <c r="B12" s="157"/>
      <c r="C12" s="96" t="s">
        <v>356</v>
      </c>
      <c r="D12" s="148">
        <f>D9*10*D10*D11</f>
        <v>0</v>
      </c>
      <c r="E12" s="97" t="s">
        <v>343</v>
      </c>
    </row>
    <row r="13" spans="1:6" x14ac:dyDescent="0.35">
      <c r="A13" s="150"/>
      <c r="B13" s="151"/>
      <c r="C13" s="152"/>
      <c r="D13" s="153"/>
      <c r="E13" s="152"/>
      <c r="F13" s="52"/>
    </row>
    <row r="14" spans="1:6" x14ac:dyDescent="0.35">
      <c r="A14" s="154" t="s">
        <v>359</v>
      </c>
      <c r="B14" s="151"/>
      <c r="C14" s="152"/>
      <c r="D14" s="153"/>
      <c r="E14" s="152"/>
      <c r="F14" s="52"/>
    </row>
    <row r="15" spans="1:6" x14ac:dyDescent="0.35">
      <c r="A15" s="161" t="s">
        <v>351</v>
      </c>
      <c r="B15" s="161" t="s">
        <v>366</v>
      </c>
      <c r="C15" s="43" t="s">
        <v>355</v>
      </c>
      <c r="D15" s="155">
        <f>IF(D5&lt;D6,((D4+D12)*D6-D4*D5)/D12,D6)</f>
        <v>0</v>
      </c>
      <c r="E15" s="43" t="s">
        <v>44</v>
      </c>
      <c r="F15" s="52"/>
    </row>
    <row r="16" spans="1:6" x14ac:dyDescent="0.35">
      <c r="B16" s="37"/>
      <c r="C16" s="37"/>
      <c r="F16" s="52"/>
    </row>
  </sheetData>
  <sheetProtection sheet="1" objects="1" scenarios="1"/>
  <mergeCells count="1">
    <mergeCell ref="A1:F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Erläuterung</vt:lpstr>
      <vt:lpstr>Gewässerhydraulik</vt:lpstr>
      <vt:lpstr>Hydrologischer Nachweis</vt:lpstr>
      <vt:lpstr>Stoffl. Nachweis I (O2 &amp; NH3-N)</vt:lpstr>
      <vt:lpstr>Stoffl. Nachweis II (Pges)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Koch</dc:creator>
  <cp:lastModifiedBy>JT</cp:lastModifiedBy>
  <dcterms:created xsi:type="dcterms:W3CDTF">2022-01-26T15:36:09Z</dcterms:created>
  <dcterms:modified xsi:type="dcterms:W3CDTF">2024-01-02T07:48:32Z</dcterms:modified>
</cp:coreProperties>
</file>